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d/14U09CJdd9LUkYHPL1wOGXQzBvdKRRzVhXeTeeDrVvRUthogfF8OoOiibw7EPd4Yk6tmiHjyWVy/L6nci7BA==" workbookSaltValue="BD3KYWjsuUlR9pFrjvM2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AO16" i="11"/>
  <c r="F10" i="10"/>
  <c r="N11" i="11"/>
  <c r="ES19" i="8"/>
  <c r="C18" i="7"/>
  <c r="S19" i="13"/>
  <c r="AG19" i="19"/>
  <c r="F9" i="11"/>
  <c r="CI19" i="8"/>
  <c r="EP19" i="8"/>
  <c r="ER19" i="13"/>
  <c r="AL13" i="16"/>
  <c r="BL9" i="11"/>
  <c r="P17" i="17"/>
  <c r="BK9" i="11"/>
  <c r="S13" i="16"/>
  <c r="H18" i="16"/>
  <c r="P13" i="16"/>
  <c r="AN13" i="20"/>
  <c r="Z13" i="17"/>
  <c r="M13" i="2"/>
  <c r="N13" i="2"/>
  <c r="C17" i="6"/>
  <c r="AC10" i="11"/>
  <c r="H13" i="12"/>
  <c r="T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I17" i="16" l="1"/>
  <c r="AO17" i="11"/>
  <c r="AY18" i="8"/>
  <c r="AW18" i="21"/>
  <c r="AJ19" i="8"/>
  <c r="B18" i="2"/>
  <c r="G16" i="3"/>
  <c r="H12" i="7"/>
  <c r="AO12" i="11"/>
  <c r="AB19" i="8"/>
  <c r="Z19" i="8"/>
  <c r="AY13" i="8"/>
  <c r="BG10" i="8"/>
  <c r="T10" i="21"/>
  <c r="V10" i="21" s="1"/>
  <c r="C19" i="3"/>
  <c r="E11" i="6"/>
  <c r="C11" i="6"/>
  <c r="AO12" i="17"/>
  <c r="B17" i="6"/>
  <c r="B16" i="6"/>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AQ16" i="17" s="1"/>
  <c r="E9" i="6"/>
  <c r="K9" i="12" s="1"/>
  <c r="BF9" i="13"/>
  <c r="D11" i="12"/>
  <c r="D12" i="12"/>
  <c r="BF11" i="8"/>
  <c r="BF9" i="8"/>
  <c r="BG9" i="8"/>
  <c r="K9" i="7" s="1"/>
  <c r="BD11" i="8"/>
  <c r="BE11" i="8"/>
  <c r="I11" i="12"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1" l="1"/>
  <c r="D19" i="5"/>
  <c r="P12" i="11"/>
  <c r="G19" i="7"/>
  <c r="K10" i="12"/>
  <c r="AM13" i="11"/>
  <c r="H13" i="2"/>
  <c r="AS16" i="20"/>
  <c r="Y13" i="11"/>
  <c r="C18" i="6"/>
  <c r="BW21" i="20"/>
  <c r="BK13" i="11"/>
  <c r="BV13" i="16"/>
  <c r="T18" i="16"/>
  <c r="T19" i="16" s="1"/>
  <c r="P16" i="11"/>
  <c r="BE18" i="13"/>
  <c r="AL18" i="11"/>
  <c r="B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F20" i="17"/>
  <c r="AN20" i="16"/>
  <c r="AO20" i="21"/>
  <c r="AY20" i="11"/>
  <c r="Z20" i="16"/>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<sst xmlns="http://schemas.openxmlformats.org/spreadsheetml/2006/main" count="2102" uniqueCount="918">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</sst>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74KnwmmRzv7SujDQTwYk20nTTzGrRCBenrLo+6u6vJFy29AMRA/RascLvqjO9gmS1qFJMg3e2lM2dZWmKmpww==" saltValue="gauqL2JzVVeSEf16zsDr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45.526178010471199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3024</v>
      </c>
      <c r="D16" s="224">
        <f>IF(ISNUMBER(IF(D_I="SI",Datos!I16,Datos!I16+Datos!AC16)),IF(D_I="SI",Datos!I16,Datos!I16+Datos!AC16)," - ")</f>
        <v>3052</v>
      </c>
      <c r="E16" s="225">
        <f>IF(ISNUMBER(IF(D_I="SI",Datos!J16,Datos!J16+Datos!AD16)),IF(D_I="SI",Datos!J16,Datos!J16+Datos!AD16)," - ")</f>
        <v>870</v>
      </c>
      <c r="F16" s="225">
        <f>IF(ISNUMBER(IF(D_I="SI",Datos!K16,Datos!K16+Datos!AE16)),IF(D_I="SI",Datos!K16,Datos!K16+Datos!AE16)," - ")</f>
        <v>825</v>
      </c>
      <c r="G16" s="1033" t="str">
        <f>IF(Datos!E16&lt;&gt;"",Datos!E16,Datos!D16)</f>
        <v>04</v>
      </c>
      <c r="H16" s="226">
        <f>IF(ISNUMBER(IF(D_I="SI",Datos!L16,Datos!L16+Datos!AF16)),IF(D_I="SI",Datos!L16,Datos!L16+Datos!AF16)," - ")</f>
        <v>3069</v>
      </c>
      <c r="I16" s="1043" t="str">
        <f>IF(ISNUMBER(Datos!AS16/Datos!BM16),Datos!AS16/Datos!BM16," - ")</f>
        <v xml:space="preserve"> - </v>
      </c>
      <c r="J16" s="1044">
        <f>IF(ISNUMBER(Datos!BY16/Datos!CN16),Datos!BY16/Datos!CN16," - ")</f>
        <v>0</v>
      </c>
      <c r="K16" s="229">
        <f t="shared" si="3"/>
        <v>1.488095238095238E-2</v>
      </c>
      <c r="L16" s="1024">
        <f>IF(ISNUMBER(NºAsuntos!I16/NºAsuntos!G16),(NºAsuntos!I16/NºAsuntos!G16)*11," - ")</f>
        <v>40.92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v>
      </c>
      <c r="D17" s="224">
        <f>IF(ISNUMBER(IF(D_I="SI",Datos!I17,Datos!I17+Datos!AC17)),IF(D_I="SI",Datos!I17,Datos!I17+Datos!AC17)," - ")</f>
        <v>1</v>
      </c>
      <c r="E17" s="225">
        <f>IF(ISNUMBER(IF(D_I="SI",Datos!J17,Datos!J17+Datos!AD17)),IF(D_I="SI",Datos!J17,Datos!J17+Datos!AD17)," - ")</f>
        <v>0</v>
      </c>
      <c r="F17" s="225">
        <f>IF(ISNUMBER(IF(D_I="SI",Datos!K17,Datos!K17+Datos!AE17)),IF(D_I="SI",Datos!K17,Datos!K17+Datos!AE17)," - ")</f>
        <v>1</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3025</v>
      </c>
      <c r="D18" s="1048">
        <f>SUBTOTAL(9,D15:D17)</f>
        <v>3053</v>
      </c>
      <c r="E18" s="1049">
        <f>SUBTOTAL(9,E15:E17)</f>
        <v>870</v>
      </c>
      <c r="F18" s="1049">
        <f>SUBTOTAL(9,F15:F17)</f>
        <v>826</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3025</v>
      </c>
      <c r="D19" s="1070">
        <f>SUBTOTAL(9,D9:D18)</f>
        <v>3053</v>
      </c>
      <c r="E19" s="1071">
        <f>SUBTOTAL(9,E9:E18)</f>
        <v>870</v>
      </c>
      <c r="F19" s="1071">
        <f>SUBTOTAL(9,F9:F18)</f>
        <v>826</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azxZJAmVWEeBrKlr7DLJMkg50ipLPM06dJMxyFOFeYES6EUkiqLzC0tz4v/OEjsMSWBe9zaTCAWrfBZoJ+2g==" saltValue="a+/ntHQA2YnMtcQpgr7Y6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DnLpONolt5HNoMAvbVnd5sqCchSGqHROoy2/rQ1Xq9+KVb+ecQOg6qFBhArSU0OTcda/jdbdpk6jxHyH3fF6w==" saltValue="XEMgpxCnnOhQcKK683o3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4970</v>
      </c>
      <c r="J12" s="182">
        <v>732</v>
      </c>
      <c r="K12" s="182">
        <v>1082</v>
      </c>
      <c r="L12" s="182">
        <v>4560</v>
      </c>
      <c r="M12" s="182">
        <v>325</v>
      </c>
      <c r="N12" s="182">
        <v>433</v>
      </c>
      <c r="O12" s="180">
        <v>636</v>
      </c>
      <c r="P12" s="182">
        <v>259</v>
      </c>
      <c r="Q12" s="182">
        <v>256</v>
      </c>
      <c r="R12" s="182">
        <v>8031</v>
      </c>
      <c r="S12" s="182">
        <v>4052</v>
      </c>
      <c r="T12" s="182">
        <v>1377</v>
      </c>
      <c r="U12" s="182">
        <v>1084</v>
      </c>
      <c r="V12" s="182">
        <v>4251</v>
      </c>
      <c r="W12" s="182">
        <v>297</v>
      </c>
      <c r="X12" s="188">
        <v>439</v>
      </c>
      <c r="Y12" s="190">
        <v>167</v>
      </c>
      <c r="Z12" s="180">
        <v>92</v>
      </c>
      <c r="AA12" s="180">
        <v>64</v>
      </c>
      <c r="AB12" s="180">
        <v>183</v>
      </c>
      <c r="AC12" s="182">
        <v>0</v>
      </c>
      <c r="AD12" s="182">
        <v>0</v>
      </c>
      <c r="AE12" s="182">
        <v>0</v>
      </c>
      <c r="AF12" s="188">
        <v>0</v>
      </c>
      <c r="AG12" s="201">
        <v>109</v>
      </c>
      <c r="AH12" s="182">
        <v>47</v>
      </c>
      <c r="AI12" s="182">
        <v>58</v>
      </c>
      <c r="AJ12" s="202">
        <v>77</v>
      </c>
      <c r="AK12" s="181">
        <v>0</v>
      </c>
      <c r="AL12" s="182">
        <v>0</v>
      </c>
      <c r="AM12" s="182">
        <v>0</v>
      </c>
      <c r="AN12" s="188">
        <v>0</v>
      </c>
      <c r="AO12" s="258">
        <v>6</v>
      </c>
      <c r="AP12" s="154">
        <v>6</v>
      </c>
      <c r="AQ12" s="154">
        <v>6</v>
      </c>
      <c r="AR12" s="153">
        <v>6</v>
      </c>
      <c r="AS12" s="339" t="s">
        <v>794</v>
      </c>
      <c r="AT12" s="202"/>
      <c r="AU12" s="201"/>
      <c r="AV12" s="202"/>
      <c r="AW12" s="201"/>
      <c r="AX12" s="202"/>
      <c r="AY12" s="126">
        <f t="shared" si="1"/>
        <v>4161</v>
      </c>
      <c r="AZ12" s="127">
        <f t="shared" si="1"/>
        <v>1424</v>
      </c>
      <c r="BA12" s="127">
        <f t="shared" si="1"/>
        <v>1142</v>
      </c>
      <c r="BB12" s="127">
        <f t="shared" si="1"/>
        <v>4328</v>
      </c>
      <c r="BC12" s="125">
        <f>IF(ISNUMBER(X12),X12," - ")</f>
        <v>439</v>
      </c>
      <c r="BD12" s="126">
        <f t="shared" si="2"/>
        <v>0.8019662921348315</v>
      </c>
      <c r="BE12" s="127">
        <f t="shared" si="3"/>
        <v>3.7898423817863396</v>
      </c>
      <c r="BF12" s="127">
        <f t="shared" si="4"/>
        <v>0.38441330998248685</v>
      </c>
      <c r="BG12" s="195">
        <f t="shared" si="5"/>
        <v>4.890542907180385</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4970</v>
      </c>
      <c r="J13" s="183">
        <f t="shared" si="6"/>
        <v>732</v>
      </c>
      <c r="K13" s="183">
        <f t="shared" si="6"/>
        <v>1082</v>
      </c>
      <c r="L13" s="183">
        <f t="shared" si="6"/>
        <v>4560</v>
      </c>
      <c r="M13" s="183">
        <f t="shared" si="6"/>
        <v>325</v>
      </c>
      <c r="N13" s="183">
        <f t="shared" si="6"/>
        <v>433</v>
      </c>
      <c r="O13" s="183">
        <f t="shared" si="6"/>
        <v>636</v>
      </c>
      <c r="P13" s="183">
        <f t="shared" si="6"/>
        <v>259</v>
      </c>
      <c r="Q13" s="183">
        <f t="shared" si="6"/>
        <v>256</v>
      </c>
      <c r="R13" s="183">
        <f t="shared" si="6"/>
        <v>8031</v>
      </c>
      <c r="S13" s="183">
        <f t="shared" si="6"/>
        <v>4052</v>
      </c>
      <c r="T13" s="183">
        <f t="shared" si="6"/>
        <v>1377</v>
      </c>
      <c r="U13" s="183">
        <f t="shared" si="6"/>
        <v>1084</v>
      </c>
      <c r="V13" s="183">
        <f t="shared" si="6"/>
        <v>4251</v>
      </c>
      <c r="W13" s="183">
        <f t="shared" si="6"/>
        <v>297</v>
      </c>
      <c r="X13" s="183">
        <f t="shared" si="6"/>
        <v>439</v>
      </c>
      <c r="Y13" s="183">
        <f t="shared" si="6"/>
        <v>167</v>
      </c>
      <c r="Z13" s="183">
        <f t="shared" si="6"/>
        <v>92</v>
      </c>
      <c r="AA13" s="183">
        <f t="shared" si="6"/>
        <v>64</v>
      </c>
      <c r="AB13" s="183">
        <f t="shared" si="6"/>
        <v>183</v>
      </c>
      <c r="AC13" s="183">
        <f t="shared" si="6"/>
        <v>0</v>
      </c>
      <c r="AD13" s="183">
        <f t="shared" si="6"/>
        <v>0</v>
      </c>
      <c r="AE13" s="183">
        <f t="shared" si="6"/>
        <v>0</v>
      </c>
      <c r="AF13" s="183">
        <f>SUBTOTAL(9,AF9:AF12)</f>
        <v>0</v>
      </c>
      <c r="AG13" s="183">
        <f t="shared" ref="AG13:AT13" si="7">SUBTOTAL(9,AG8:AG12)</f>
        <v>109</v>
      </c>
      <c r="AH13" s="183">
        <f t="shared" si="7"/>
        <v>47</v>
      </c>
      <c r="AI13" s="183">
        <f t="shared" si="7"/>
        <v>58</v>
      </c>
      <c r="AJ13" s="183">
        <f t="shared" si="7"/>
        <v>77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4161</v>
      </c>
      <c r="AZ13" s="183">
        <f>SUBTOTAL(9,AZ8:AZ12)</f>
        <v>1424</v>
      </c>
      <c r="BA13" s="183">
        <f>SUBTOTAL(9,BA8:BA12)</f>
        <v>1142</v>
      </c>
      <c r="BB13" s="183">
        <f>SUBTOTAL(9,BB8:BB12)</f>
        <v>4328</v>
      </c>
      <c r="BC13" s="183">
        <f>SUBTOTAL(9,BC8:BC12)</f>
        <v>439</v>
      </c>
      <c r="BD13" s="204">
        <f>IF(ISNUMBER(BA13/AZ13),BA13/AZ13," - ")</f>
        <v>0.8019662921348315</v>
      </c>
      <c r="BE13" s="205">
        <f>IF(ISNUMBER(BB13/BA13),BB13/BA13, " - ")</f>
        <v>3.7898423817863396</v>
      </c>
      <c r="BF13" s="205">
        <f>IF(ISNUMBER(BC13/BA13),BC13/BA13, " - ")</f>
        <v>0.38441330998248685</v>
      </c>
      <c r="BG13" s="206">
        <f>IF(ISNUMBER((AY13+AZ13)/BA13),(AY13+AZ13)/BA13," - ")</f>
        <v>4.890542907180385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3052</v>
      </c>
      <c r="J16" s="182">
        <v>870</v>
      </c>
      <c r="K16" s="182">
        <v>825</v>
      </c>
      <c r="L16" s="182">
        <v>3069</v>
      </c>
      <c r="M16" s="182">
        <v>167</v>
      </c>
      <c r="N16" s="182">
        <v>373</v>
      </c>
      <c r="O16" s="180">
        <v>10</v>
      </c>
      <c r="P16" s="182">
        <v>42</v>
      </c>
      <c r="Q16" s="182">
        <v>32</v>
      </c>
      <c r="R16" s="182">
        <v>369</v>
      </c>
      <c r="S16" s="182">
        <v>2525</v>
      </c>
      <c r="T16" s="182">
        <v>788</v>
      </c>
      <c r="U16" s="182">
        <v>652</v>
      </c>
      <c r="V16" s="182">
        <v>2681</v>
      </c>
      <c r="W16" s="182">
        <v>158</v>
      </c>
      <c r="X16" s="188">
        <v>262</v>
      </c>
      <c r="Y16" s="201">
        <v>0</v>
      </c>
      <c r="Z16" s="182">
        <v>0</v>
      </c>
      <c r="AA16" s="182">
        <v>0</v>
      </c>
      <c r="AB16" s="182">
        <v>0</v>
      </c>
      <c r="AC16" s="182">
        <v>1</v>
      </c>
      <c r="AD16" s="182">
        <v>0</v>
      </c>
      <c r="AE16" s="182">
        <v>0</v>
      </c>
      <c r="AF16" s="188">
        <v>1</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2525</v>
      </c>
      <c r="AZ16" s="127">
        <f t="shared" si="9"/>
        <v>788</v>
      </c>
      <c r="BA16" s="127">
        <f t="shared" si="9"/>
        <v>652</v>
      </c>
      <c r="BB16" s="127">
        <f t="shared" si="9"/>
        <v>2681</v>
      </c>
      <c r="BC16" s="125">
        <f>IF(ISNUMBER(W16),W16," - ")</f>
        <v>158</v>
      </c>
      <c r="BD16" s="126">
        <f t="shared" ref="BD16" si="11">IF(ISNUMBER(BA16/AZ16),BA16/AZ16," - ")</f>
        <v>0.82741116751269039</v>
      </c>
      <c r="BE16" s="127">
        <f t="shared" ref="BE16" si="12">IF(ISNUMBER(BB16/BA16),BB16/BA16, " - ")</f>
        <v>4.1119631901840492</v>
      </c>
      <c r="BF16" s="127">
        <f t="shared" ref="BF16" si="13">IF(ISNUMBER(BC16/BA16),BC16/BA16, " - ")</f>
        <v>0.24233128834355827</v>
      </c>
      <c r="BG16" s="195">
        <f t="shared" si="10"/>
        <v>5.0812883435582821</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0</v>
      </c>
      <c r="K17" s="182">
        <v>1</v>
      </c>
      <c r="L17" s="182">
        <v>0</v>
      </c>
      <c r="M17" s="182">
        <v>0</v>
      </c>
      <c r="N17" s="182">
        <v>0</v>
      </c>
      <c r="O17" s="182">
        <v>0</v>
      </c>
      <c r="P17" s="182">
        <v>0</v>
      </c>
      <c r="Q17" s="182">
        <v>0</v>
      </c>
      <c r="R17" s="182">
        <v>0</v>
      </c>
      <c r="S17" s="182">
        <v>6</v>
      </c>
      <c r="T17" s="182">
        <v>0</v>
      </c>
      <c r="U17" s="182">
        <v>3</v>
      </c>
      <c r="V17" s="182">
        <v>3</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0</v>
      </c>
      <c r="BA17" s="129">
        <f t="shared" si="14"/>
        <v>3</v>
      </c>
      <c r="BB17" s="129">
        <f t="shared" si="14"/>
        <v>3</v>
      </c>
      <c r="BC17" s="125">
        <f>IF(ISNUMBER(W17),W17," - ")</f>
        <v>0</v>
      </c>
      <c r="BD17" s="126" t="str">
        <f>IF(ISNUMBER(BA17/AZ17),BA17/AZ17," - ")</f>
        <v xml:space="preserve"> - </v>
      </c>
      <c r="BE17" s="127">
        <f>IF(ISNUMBER(BB17/BA17),BB17/BA17, " - ")</f>
        <v>1</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3053</v>
      </c>
      <c r="J18" s="183">
        <f t="shared" si="15"/>
        <v>870</v>
      </c>
      <c r="K18" s="183">
        <f t="shared" si="15"/>
        <v>826</v>
      </c>
      <c r="L18" s="183">
        <f t="shared" si="15"/>
        <v>3069</v>
      </c>
      <c r="M18" s="183">
        <f t="shared" si="15"/>
        <v>167</v>
      </c>
      <c r="N18" s="183">
        <f t="shared" si="15"/>
        <v>373</v>
      </c>
      <c r="O18" s="183">
        <f t="shared" si="15"/>
        <v>10</v>
      </c>
      <c r="P18" s="183">
        <f t="shared" si="15"/>
        <v>42</v>
      </c>
      <c r="Q18" s="183">
        <f t="shared" si="15"/>
        <v>32</v>
      </c>
      <c r="R18" s="183">
        <f t="shared" si="15"/>
        <v>369</v>
      </c>
      <c r="S18" s="183">
        <f t="shared" si="15"/>
        <v>2531</v>
      </c>
      <c r="T18" s="183">
        <f t="shared" si="15"/>
        <v>788</v>
      </c>
      <c r="U18" s="183">
        <f t="shared" si="15"/>
        <v>655</v>
      </c>
      <c r="V18" s="183">
        <f t="shared" si="15"/>
        <v>2684</v>
      </c>
      <c r="W18" s="183">
        <f t="shared" si="15"/>
        <v>158</v>
      </c>
      <c r="X18" s="183">
        <f t="shared" si="15"/>
        <v>262</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2531</v>
      </c>
      <c r="AZ18" s="183">
        <f>SUBTOTAL(9,AZ14:AZ17)</f>
        <v>788</v>
      </c>
      <c r="BA18" s="183">
        <f>SUBTOTAL(9,BA14:BA17)</f>
        <v>655</v>
      </c>
      <c r="BB18" s="183">
        <f>SUBTOTAL(9,BB14:BB17)</f>
        <v>2684</v>
      </c>
      <c r="BC18" s="183">
        <f>SUBTOTAL(9,BC14:BC17)</f>
        <v>158</v>
      </c>
      <c r="BD18" s="204">
        <f>IF(ISNUMBER(BA18/AZ18),BA18/AZ18," - ")</f>
        <v>0.83121827411167515</v>
      </c>
      <c r="BE18" s="205">
        <f>IF(ISNUMBER(BB18/BA18),BB18/BA18, " - ")</f>
        <v>4.0977099236641221</v>
      </c>
      <c r="BF18" s="205">
        <f>IF(ISNUMBER(BC18/BA18),BC18/BA18, " - ")</f>
        <v>0.24122137404580152</v>
      </c>
      <c r="BG18" s="206">
        <f>IF(ISNUMBER((AY18+AZ18)/BA18),(AY18+AZ18)/BA18," - ")</f>
        <v>5.0671755725190843</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8023</v>
      </c>
      <c r="J19" s="134">
        <f t="shared" si="18"/>
        <v>1602</v>
      </c>
      <c r="K19" s="134">
        <f t="shared" si="18"/>
        <v>1908</v>
      </c>
      <c r="L19" s="134">
        <f t="shared" si="18"/>
        <v>7629</v>
      </c>
      <c r="M19" s="134">
        <f t="shared" si="18"/>
        <v>492</v>
      </c>
      <c r="N19" s="134">
        <f t="shared" si="18"/>
        <v>806</v>
      </c>
      <c r="O19" s="134">
        <f t="shared" si="18"/>
        <v>646</v>
      </c>
      <c r="P19" s="134">
        <f t="shared" si="18"/>
        <v>301</v>
      </c>
      <c r="Q19" s="134">
        <f t="shared" si="18"/>
        <v>288</v>
      </c>
      <c r="R19" s="134">
        <f t="shared" si="18"/>
        <v>8400</v>
      </c>
      <c r="S19" s="134">
        <f t="shared" si="18"/>
        <v>6583</v>
      </c>
      <c r="T19" s="134">
        <f t="shared" si="18"/>
        <v>2165</v>
      </c>
      <c r="U19" s="134">
        <f t="shared" si="18"/>
        <v>1739</v>
      </c>
      <c r="V19" s="134">
        <f t="shared" si="18"/>
        <v>6935</v>
      </c>
      <c r="W19" s="134">
        <f t="shared" si="18"/>
        <v>455</v>
      </c>
      <c r="X19" s="134">
        <f t="shared" si="18"/>
        <v>701</v>
      </c>
      <c r="Y19" s="134">
        <f t="shared" si="18"/>
        <v>167</v>
      </c>
      <c r="Z19" s="134">
        <f t="shared" si="18"/>
        <v>92</v>
      </c>
      <c r="AA19" s="134">
        <f t="shared" si="18"/>
        <v>64</v>
      </c>
      <c r="AB19" s="134">
        <f t="shared" si="18"/>
        <v>183</v>
      </c>
      <c r="AC19" s="134">
        <f t="shared" si="18"/>
        <v>1</v>
      </c>
      <c r="AD19" s="134">
        <f t="shared" si="18"/>
        <v>0</v>
      </c>
      <c r="AE19" s="134">
        <f t="shared" si="18"/>
        <v>0</v>
      </c>
      <c r="AF19" s="134">
        <f t="shared" si="18"/>
        <v>1</v>
      </c>
      <c r="AG19" s="134">
        <f t="shared" si="18"/>
        <v>109</v>
      </c>
      <c r="AH19" s="134">
        <f t="shared" si="18"/>
        <v>47</v>
      </c>
      <c r="AI19" s="134">
        <f t="shared" si="18"/>
        <v>58</v>
      </c>
      <c r="AJ19" s="134">
        <f t="shared" si="18"/>
        <v>77</v>
      </c>
      <c r="AK19" s="134">
        <f t="shared" si="18"/>
        <v>0</v>
      </c>
      <c r="AL19" s="134">
        <f t="shared" si="18"/>
        <v>0</v>
      </c>
      <c r="AM19" s="134">
        <f t="shared" si="18"/>
        <v>0</v>
      </c>
      <c r="AN19" s="209">
        <f t="shared" si="18"/>
        <v>0</v>
      </c>
      <c r="AO19" s="210">
        <v>7</v>
      </c>
      <c r="AP19" s="210">
        <v>6</v>
      </c>
      <c r="AQ19" s="210">
        <v>6</v>
      </c>
      <c r="AR19" s="210">
        <v>6</v>
      </c>
      <c r="AS19" s="152">
        <f t="shared" si="18"/>
        <v>0</v>
      </c>
      <c r="AT19" s="152">
        <f t="shared" si="18"/>
        <v>0</v>
      </c>
      <c r="AU19" s="210"/>
      <c r="AV19" s="211"/>
      <c r="AW19" s="210"/>
      <c r="AX19" s="211"/>
      <c r="AY19" s="133">
        <f>SUBTOTAL(9,AY9:AY18)</f>
        <v>6692</v>
      </c>
      <c r="AZ19" s="134">
        <f>SUBTOTAL(9,AZ9:AZ18)</f>
        <v>2212</v>
      </c>
      <c r="BA19" s="134">
        <f>SUBTOTAL(9,BA9:BA18)</f>
        <v>1797</v>
      </c>
      <c r="BB19" s="134">
        <f>SUBTOTAL(9,BB9:BB18)</f>
        <v>7012</v>
      </c>
      <c r="BC19" s="135">
        <f>SUBTOTAL(9,BC9:BC18)</f>
        <v>597</v>
      </c>
      <c r="BD19" s="212">
        <f>IF(ISNUMBER(BA19/AZ19),BA19/AZ19," - ")</f>
        <v>0.81238698010849908</v>
      </c>
      <c r="BE19" s="209">
        <f>IF(ISNUMBER(BB19/BA19),BB19/BA19, " - ")</f>
        <v>3.9020589872008902</v>
      </c>
      <c r="BF19" s="209">
        <f>IF(ISNUMBER(BC19/BA19),BC19/BA19, " - ")</f>
        <v>0.332220367278798</v>
      </c>
      <c r="BG19" s="135">
        <f>IF(ISNUMBER((AY19+AZ19)/BA19),(AY19+AZ19)/BA19," - ")</f>
        <v>4.9549248747913186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LPY2JeNoZ7YyX6GqDgcrODhpF3xNMt/N5aqN+I4wr/BcFzmfEq0HVXipGxstxG2n3heSQzC4Qx3LmoKIFvv5w==" saltValue="6boLVk6BJUTm4D6Bt4pY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p8My3p0zIOSZqc9r/Awtk/3B8YnJrXgrFKOJ6myPfVTTAHuE+vM8NhPLGghJh50yLS2kva58QotrHIeTTcg+A==" saltValue="UerENDwjqg7qtamrKp+zt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NULES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92</v>
      </c>
      <c r="O12" s="333"/>
      <c r="P12" s="333"/>
      <c r="Q12" s="225">
        <f>IF(ISNUMBER(Datos!P12),Datos!P12,0)</f>
        <v>259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183</v>
      </c>
      <c r="AI12" s="333" t="str">
        <f>IF(ISNUMBER(Datos!CD12),Datos!CD12,"-")</f>
        <v>-</v>
      </c>
      <c r="AJ12" s="333" t="str">
        <f>IF(ISNUMBER(Datos!EN12),Datos!EN12," - ")</f>
        <v xml:space="preserve"> - </v>
      </c>
      <c r="AK12" s="333"/>
      <c r="AL12" s="478"/>
      <c r="AM12" s="334">
        <f>IF(ISNUMBER(Datos!R12),Datos!R12," - ")</f>
        <v>8031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325</v>
      </c>
      <c r="BD12" s="228">
        <f>IF(ISNUMBER(Datos!N12),Datos!N12," - ")</f>
        <v>433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1.3907766990291262</v>
      </c>
      <c r="BH12" s="259">
        <f>IF(ISNUMBER(((IF(J_V="SI",Datos!L12/Datos!K12,(Datos!L12+Datos!AB12)/(Datos!K12+Datos!AA12)))*11)/factor_trimestre),((IF(J_V="SI",Datos!L12/Datos!K12,(Datos!L12+Datos!AB12)/(Datos!K12+Datos!AA12)))*11)/factor_trimestre," - ")</f>
        <v>12.416230366492146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3.7369207772795218E-4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92</v>
      </c>
      <c r="O13" s="899">
        <f t="shared" si="0"/>
        <v>0</v>
      </c>
      <c r="P13" s="899">
        <f t="shared" si="0"/>
        <v>0</v>
      </c>
      <c r="Q13" s="898">
        <f t="shared" si="0"/>
        <v>259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256</v>
      </c>
      <c r="AD13" s="898">
        <f t="shared" si="1"/>
        <v>0</v>
      </c>
      <c r="AE13" s="898">
        <f t="shared" si="1"/>
        <v>0</v>
      </c>
      <c r="AF13" s="898">
        <f t="shared" si="1"/>
        <v>0</v>
      </c>
      <c r="AG13" s="898">
        <f t="shared" si="1"/>
        <v>0</v>
      </c>
      <c r="AH13" s="898">
        <f t="shared" si="1"/>
        <v>183</v>
      </c>
      <c r="AI13" s="898">
        <f t="shared" si="1"/>
        <v>0</v>
      </c>
      <c r="AJ13" s="898">
        <f t="shared" si="1"/>
        <v>0</v>
      </c>
      <c r="AK13" s="898">
        <f t="shared" si="1"/>
        <v>0</v>
      </c>
      <c r="AL13" s="898">
        <f t="shared" si="1"/>
        <v>0</v>
      </c>
      <c r="AM13" s="898">
        <f t="shared" si="1"/>
        <v>8031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325</v>
      </c>
      <c r="BD13" s="898">
        <f t="shared" si="1"/>
        <v>433</v>
      </c>
      <c r="BE13" s="898">
        <f t="shared" si="1"/>
        <v>0</v>
      </c>
      <c r="BF13" s="898">
        <f t="shared" si="1"/>
        <v>0</v>
      </c>
      <c r="BG13" s="898">
        <f>IF(ISNUMBER(Datos!K13/Datos!J13),Datos!K13/Datos!J13," - ")</f>
        <v>1.4781420765027322</v>
      </c>
      <c r="BH13" s="902">
        <f>IF(ISNUMBER(((Datos!L13/Datos!K13)*11)/factor_trimestre),((Datos!L13/Datos!K13)*11)/factor_trimestre," - ")</f>
        <v>12.643253234750462</v>
      </c>
      <c r="BI13" s="898">
        <f>IF(ISNUMBER('Resol  Asuntos'!D13/NºAsuntos!G13),'Resol  Asuntos'!D13/NºAsuntos!G13," - ")</f>
        <v>0.28359511343804539</v>
      </c>
      <c r="BJ13" s="898" t="str">
        <f>IF(ISNUMBER(Datos!CI13/Datos!CJ13),Datos!CI13/Datos!CJ13," - ")</f>
        <v xml:space="preserve"> - </v>
      </c>
      <c r="BK13" s="898">
        <f>SUBTOTAL(9,BK8:BK12)</f>
        <v>0</v>
      </c>
      <c r="BL13" s="898" t="str">
        <f>IF(ISNUMBER((I13-AB13+L13)/(F13)),(I13-AB13+L13)/(F13)," - ")</f>
        <v xml:space="preserve"> - </v>
      </c>
      <c r="BM13" s="903">
        <f>SUBTOTAL(9,BM9:BM12)</f>
        <v>3.7369207772795218E-4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3024</v>
      </c>
      <c r="G16" s="597">
        <f>IF(ISNUMBER(IF(D_I="SI",Datos!I16,Datos!I16+Datos!AC16)),IF(D_I="SI",Datos!I16,Datos!I16+Datos!AC16)," - ")</f>
        <v>3052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825</v>
      </c>
      <c r="AC16" s="225">
        <f>IF(ISNUMBER(Datos!Q16),Datos!Q16," - ")</f>
        <v>32</v>
      </c>
      <c r="AD16" s="333"/>
      <c r="AE16" s="483"/>
      <c r="AF16" s="595">
        <f>IF(ISNUMBER(IF(D_I="SI",Datos!L16,Datos!L16+Datos!AF16)),IF(D_I="SI",Datos!L16,Datos!L16+Datos!AF16)," - ")</f>
        <v>3069</v>
      </c>
      <c r="AG16" s="333"/>
      <c r="AH16" s="333"/>
      <c r="AI16" s="333"/>
      <c r="AJ16" s="333"/>
      <c r="AK16" s="333"/>
      <c r="AL16" s="478"/>
      <c r="AM16" s="334">
        <f>IF(ISNUMBER(Datos!R16),Datos!R16," - ")</f>
        <v>369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167</v>
      </c>
      <c r="BD16" s="228">
        <f>IF(ISNUMBER(Datos!N16),Datos!N16," - ")</f>
        <v>373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0.94827586206896552</v>
      </c>
      <c r="BH16" s="259">
        <f>IF(ISNUMBER(((IF(D_I="SI",Datos!L16/Datos!K16,(Datos!L16+Datos!AF16)/(Datos!K16+Datos!AE16)))*11)/factor_trimestre),((IF(D_I="SI",Datos!L16/Datos!K16,(Datos!L16+Datos!AF16)/(Datos!K16+Datos!AE16)))*11)/factor_trimestre," - ")</f>
        <v>11.16</v>
      </c>
      <c r="BI16" s="242">
        <f>IF(ISNUMBER('Resol  Asuntos'!D16/NºAsuntos!G16),'Resol  Asuntos'!D16/NºAsuntos!G16," - ")</f>
        <v>0.20242424242424242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3024</v>
      </c>
      <c r="G18" s="897">
        <f>SUBTOTAL(9,G15:G17)</f>
        <v>3053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826</v>
      </c>
      <c r="AC18" s="898">
        <f t="shared" si="4"/>
        <v>32</v>
      </c>
      <c r="AD18" s="898">
        <f t="shared" si="4"/>
        <v>0</v>
      </c>
      <c r="AE18" s="898">
        <f t="shared" si="4"/>
        <v>0</v>
      </c>
      <c r="AF18" s="898">
        <f t="shared" si="4"/>
        <v>3069</v>
      </c>
      <c r="AG18" s="898">
        <f t="shared" si="4"/>
        <v>0</v>
      </c>
      <c r="AH18" s="898">
        <f t="shared" si="4"/>
        <v>0</v>
      </c>
      <c r="AI18" s="898">
        <f t="shared" si="4"/>
        <v>0</v>
      </c>
      <c r="AJ18" s="898">
        <f t="shared" si="4"/>
        <v>0</v>
      </c>
      <c r="AK18" s="898">
        <f t="shared" si="4"/>
        <v>0</v>
      </c>
      <c r="AL18" s="898">
        <f t="shared" si="4"/>
        <v>0</v>
      </c>
      <c r="AM18" s="898">
        <f t="shared" si="4"/>
        <v>369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167</v>
      </c>
      <c r="BD18" s="898">
        <f t="shared" si="4"/>
        <v>373</v>
      </c>
      <c r="BE18" s="898">
        <f t="shared" si="4"/>
        <v>0</v>
      </c>
      <c r="BF18" s="898">
        <f t="shared" si="4"/>
        <v>0</v>
      </c>
      <c r="BG18" s="898">
        <f>IF(ISNUMBER(Datos!K18/Datos!J18),Datos!K18/Datos!J18," - ")</f>
        <v>0.94942528735632181</v>
      </c>
      <c r="BH18" s="902">
        <f>IF(ISNUMBER(((Datos!L18/Datos!K18)*11)/factor_trimestre),((Datos!L18/Datos!K18)*11)/factor_trimestre," - ")</f>
        <v>11.146489104116222</v>
      </c>
      <c r="BI18" s="898">
        <f>SUBTOTAL(9,BI15:BI17)</f>
        <v>0.20242424242424242</v>
      </c>
      <c r="BJ18" s="898">
        <f>SUBTOTAL(9,BJ15:BJ17)</f>
        <v>0</v>
      </c>
      <c r="BK18" s="898">
        <f>SUBTOTAL(9,BK15:BK17)</f>
        <v>0</v>
      </c>
      <c r="BL18" s="898">
        <f>IF(ISNUMBER((I18-AB18+L18)/(F18)),(I18-AB18+L18)/(F18)," - ")</f>
        <v>-0.27314814814814814</v>
      </c>
      <c r="BM18" s="904">
        <f>IF(ISNUMBER((Datos!P18-Datos!Q18)/(Datos!R18-Datos!P18+Datos!Q18)),(Datos!P18-Datos!Q18)/(Datos!R18-Datos!P18+Datos!Q18)," - ")</f>
        <v>2.7855153203342618E-2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3024</v>
      </c>
      <c r="G19" s="819">
        <f t="shared" si="6"/>
        <v>3053</v>
      </c>
      <c r="H19" s="821">
        <f t="shared" si="6"/>
        <v>0</v>
      </c>
      <c r="I19" s="819">
        <f t="shared" si="6"/>
        <v>0</v>
      </c>
      <c r="J19" s="821">
        <f t="shared" si="6"/>
        <v>0</v>
      </c>
      <c r="K19" s="821">
        <f t="shared" si="6"/>
        <v>0</v>
      </c>
      <c r="L19" s="880">
        <f t="shared" si="6"/>
        <v>0</v>
      </c>
      <c r="M19" s="880">
        <f t="shared" si="6"/>
        <v>0</v>
      </c>
      <c r="N19" s="880">
        <f t="shared" si="6"/>
        <v>92</v>
      </c>
      <c r="O19" s="880">
        <f t="shared" si="6"/>
        <v>0</v>
      </c>
      <c r="P19" s="880">
        <f t="shared" si="6"/>
        <v>0</v>
      </c>
      <c r="Q19" s="821">
        <f t="shared" si="6"/>
        <v>301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826</v>
      </c>
      <c r="AC19" s="820">
        <f t="shared" si="7"/>
        <v>288</v>
      </c>
      <c r="AD19" s="820">
        <f t="shared" si="7"/>
        <v>0</v>
      </c>
      <c r="AE19" s="820">
        <f t="shared" si="7"/>
        <v>0</v>
      </c>
      <c r="AF19" s="827">
        <f t="shared" si="7"/>
        <v>3069</v>
      </c>
      <c r="AG19" s="827">
        <f t="shared" si="7"/>
        <v>0</v>
      </c>
      <c r="AH19" s="827">
        <f t="shared" si="7"/>
        <v>183</v>
      </c>
      <c r="AI19" s="827">
        <f t="shared" si="7"/>
        <v>0</v>
      </c>
      <c r="AJ19" s="820">
        <f t="shared" si="7"/>
        <v>0</v>
      </c>
      <c r="AK19" s="827">
        <f t="shared" si="7"/>
        <v>0</v>
      </c>
      <c r="AL19" s="827">
        <f t="shared" si="7"/>
        <v>0</v>
      </c>
      <c r="AM19" s="827">
        <f t="shared" si="7"/>
        <v>8400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492</v>
      </c>
      <c r="BD19" s="819">
        <f t="shared" si="7"/>
        <v>806</v>
      </c>
      <c r="BE19" s="819">
        <f t="shared" si="7"/>
        <v>0</v>
      </c>
      <c r="BF19" s="829">
        <f t="shared" si="7"/>
        <v>0</v>
      </c>
      <c r="BG19" s="914">
        <f>IF(ISNUMBER(Datos!K19/Datos!J19),Datos!K19/Datos!J19," - ")</f>
        <v>1.1910112359550562</v>
      </c>
      <c r="BH19" s="914">
        <f>IF(ISNUMBER(((Datos!L19/Datos!K19)*11)/factor_trimestre),((Datos!L19/Datos!K19)*11)/factor_trimestre," - ")</f>
        <v>11.995283018867925</v>
      </c>
      <c r="BI19" s="812">
        <f>IF(ISNUMBER(Datos!J19/Datos!I19),Datos!J19/Datos!I19," - ")</f>
        <v>0.19967593169637293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-0.27314814814814814</v>
      </c>
      <c r="BM19" s="888">
        <f>IF(ISNUMBER((Datos!P19-Datos!Q19+R19)/(Datos!R19-Datos!P19+Datos!Q19-R19)),(Datos!P19-Datos!Q19+R19)/(Datos!R19-Datos!P19+Datos!Q19-R19)," - ")</f>
        <v>1.5500178848217479E-3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1745.9072140294284</v>
      </c>
      <c r="G21" s="551">
        <f>IF(ISNUMBER(STDEV(G8:G18)),STDEV(G8:G18),"-")</f>
        <v>1671.7406198331128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451.96271970152583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145.36299391523278</v>
      </c>
      <c r="BD21" s="550"/>
      <c r="BE21" s="550">
        <f>IF(ISNUMBER(STDEV(BE8:BE18)),STDEV(BE8:BE18),"-")</f>
        <v>0</v>
      </c>
      <c r="BF21" s="555">
        <f>IF(ISNUMBER(STDEV(BF8:BF18)),STDEV(BF8:BF18),"-")</f>
        <v>0</v>
      </c>
      <c r="BG21" s="774">
        <f>IF(ISNUMBER(STDEV(BG8:BG18)),STDEV(BG8:BG18),"-")</f>
        <v>0.2826263342854079</v>
      </c>
      <c r="BH21" s="775">
        <f>IF(ISNUMBER(STDEV(BH8:BH18)),STDEV(BH8:BH18),"-")</f>
        <v>5.3408186206576023</v>
      </c>
      <c r="BI21" s="248">
        <f>IF(ISNUMBER(STDEV(BI8:BI18)),STDEV(BI8:BI18),"-")</f>
        <v>0.12095273071544439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gNOg3meAhv2dDHosMXqv9eUBwGtyTbve0kvs4mHwOe/bCqRfyziV1QxkZ1O8eocPGxkhN4t371mDk/2xhcGIA==" saltValue="2/1dBj4u2/0nFjzYoNJi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NULES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256</v>
      </c>
      <c r="AA12" s="331" t="str">
        <f>IF(ISNUMBER(IF(J_V="SI",Datos!L12,Datos!L12+Datos!AB12)-IF(Monitorios="SI",Datos!CD12,0)),
                          IF(J_V="SI",Datos!L12,Datos!L12+Datos!AB12)-IF(Monitorios="SI",Datos!CD12,0),
                          " - ")</f>
        <v xml:space="preserve"> - </v>
      </c>
      <c r="AB12" s="333"/>
      <c r="AC12" s="333"/>
      <c r="AD12" s="483"/>
      <c r="AE12" s="483">
        <f>IF(ISNUMBER(Datos!R12),Datos!R12," - ")</f>
        <v>8031</v>
      </c>
      <c r="AF12" s="228" t="str">
        <f>IF(ISNUMBER(Datos!BV12),Datos!BV12," - ")</f>
        <v xml:space="preserve"> - </v>
      </c>
      <c r="AG12" s="224" t="str">
        <f>IF(ISNUMBER(Datos!DV12),Datos!DV12," - ")</f>
        <v xml:space="preserve"> - </v>
      </c>
      <c r="AH12" s="297"/>
      <c r="AI12" s="226"/>
      <c r="AJ12" s="224">
        <f>IF(ISNUMBER(Datos!M12),Datos!M12," - ")</f>
        <v>325</v>
      </c>
      <c r="AK12" s="228">
        <f>IF(ISNUMBER(Datos!N12),Datos!N12," - ")</f>
        <v>433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12.416230366492146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3.7369207772795218E-4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256</v>
      </c>
      <c r="AA13" s="899">
        <f t="shared" si="2"/>
        <v>0</v>
      </c>
      <c r="AB13" s="899">
        <f t="shared" si="2"/>
        <v>0</v>
      </c>
      <c r="AC13" s="899">
        <f t="shared" si="2"/>
        <v>0</v>
      </c>
      <c r="AD13" s="899">
        <f t="shared" si="2"/>
        <v>0</v>
      </c>
      <c r="AE13" s="899">
        <f t="shared" si="2"/>
        <v>8031</v>
      </c>
      <c r="AF13" s="907">
        <f t="shared" si="2"/>
        <v>0</v>
      </c>
      <c r="AG13" s="907">
        <f t="shared" si="2"/>
        <v>0</v>
      </c>
      <c r="AH13" s="907">
        <f t="shared" si="2"/>
        <v>0</v>
      </c>
      <c r="AI13" s="907">
        <f t="shared" si="2"/>
        <v>0</v>
      </c>
      <c r="AJ13" s="907">
        <f t="shared" si="2"/>
        <v>325</v>
      </c>
      <c r="AK13" s="907">
        <f t="shared" si="2"/>
        <v>433</v>
      </c>
      <c r="AL13" s="907">
        <f t="shared" si="2"/>
        <v>0</v>
      </c>
      <c r="AM13" s="907">
        <f t="shared" si="2"/>
        <v>0</v>
      </c>
      <c r="AN13" s="907">
        <f t="shared" si="2"/>
        <v>0</v>
      </c>
      <c r="AO13" s="903">
        <f>IF(ISNUMBER(((NºAsuntos!I13/NºAsuntos!G13)*11)/factor_trimestre),((NºAsuntos!I13/NºAsuntos!G13)*11)/factor_trimestre," - ")</f>
        <v>12.416230366492146</v>
      </c>
      <c r="AP13" s="909" t="str">
        <f>IF(ISNUMBER(Datos!CI13/Datos!CJ13),Datos!CI13/Datos!CJ13," - ")</f>
        <v xml:space="preserve"> - </v>
      </c>
      <c r="AQ13" s="927">
        <f t="shared" ref="AQ13:AV13" si="3">SUBTOTAL(9,AQ9:AQ12)</f>
        <v>0</v>
      </c>
      <c r="AR13" s="927">
        <f t="shared" si="3"/>
        <v>3.7369207772795218E-4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3024</v>
      </c>
      <c r="G16" s="224">
        <f>IF(ISNUMBER(IF(D_I="SI",Datos!I16,Datos!I16+Datos!AC16)),IF(D_I="SI",Datos!I16,Datos!I16+Datos!AC16)," - ")</f>
        <v>3052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825</v>
      </c>
      <c r="Z16" s="618">
        <f>IF(ISNUMBER(Datos!Q16),Datos!Q16," - ")</f>
        <v>32</v>
      </c>
      <c r="AA16" s="331">
        <f>IF(ISNUMBER(IF(D_I="SI",Datos!L16,Datos!L16+Datos!AF16)),IF(D_I="SI",Datos!L16,Datos!L16+Datos!AF16)," - ")</f>
        <v>3069</v>
      </c>
      <c r="AB16" s="333"/>
      <c r="AC16" s="333"/>
      <c r="AD16" s="483"/>
      <c r="AE16" s="483">
        <f>IF(ISNUMBER(Datos!R16),Datos!R16," - ")</f>
        <v>369</v>
      </c>
      <c r="AF16" s="228" t="str">
        <f>IF(ISNUMBER(Datos!BV16),Datos!BV16," - ")</f>
        <v xml:space="preserve"> - </v>
      </c>
      <c r="AG16" s="224"/>
      <c r="AH16" s="297"/>
      <c r="AI16" s="226"/>
      <c r="AJ16" s="224">
        <f>IF(ISNUMBER(Datos!M16),Datos!M16," - ")</f>
        <v>167</v>
      </c>
      <c r="AK16" s="228">
        <f>IF(ISNUMBER(Datos!N16),Datos!N16," - ")</f>
        <v>373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3024</v>
      </c>
      <c r="G18" s="897">
        <f>SUBTOTAL(9,G15:G17)</f>
        <v>3053</v>
      </c>
      <c r="H18" s="931">
        <f>SUBTOTAL(9,H15:H17)</f>
        <v>0</v>
      </c>
      <c r="I18" s="910">
        <f>SUBTOTAL(9,I15:I17)</f>
        <v>0</v>
      </c>
      <c r="J18" s="866">
        <f>SUBTOTAL(9,J14:J17)</f>
        <v>0</v>
      </c>
      <c r="K18" s="931">
        <f t="shared" ref="K18:S18" si="4">SUBTOTAL(9,K15:K17)</f>
        <v>0</v>
      </c>
      <c r="L18" s="931">
        <f t="shared" si="4"/>
        <v>0</v>
      </c>
      <c r="M18" s="931">
        <f t="shared" si="4"/>
        <v>0</v>
      </c>
      <c r="N18" s="931">
        <f t="shared" si="4"/>
        <v>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826</v>
      </c>
      <c r="Z18" s="931">
        <f t="shared" si="5"/>
        <v>32</v>
      </c>
      <c r="AA18" s="931">
        <f t="shared" si="5"/>
        <v>3069</v>
      </c>
      <c r="AB18" s="931">
        <f t="shared" si="5"/>
        <v>0</v>
      </c>
      <c r="AC18" s="931">
        <f t="shared" si="5"/>
        <v>0</v>
      </c>
      <c r="AD18" s="931">
        <f t="shared" si="5"/>
        <v>0</v>
      </c>
      <c r="AE18" s="931">
        <f t="shared" si="5"/>
        <v>369</v>
      </c>
      <c r="AF18" s="931">
        <f t="shared" si="5"/>
        <v>0</v>
      </c>
      <c r="AG18" s="931">
        <f t="shared" si="5"/>
        <v>0</v>
      </c>
      <c r="AH18" s="931">
        <f t="shared" si="5"/>
        <v>0</v>
      </c>
      <c r="AI18" s="931">
        <f t="shared" si="5"/>
        <v>0</v>
      </c>
      <c r="AJ18" s="931">
        <f t="shared" si="5"/>
        <v>167</v>
      </c>
      <c r="AK18" s="931">
        <f t="shared" si="5"/>
        <v>373</v>
      </c>
      <c r="AL18" s="931">
        <f t="shared" si="5"/>
        <v>0</v>
      </c>
      <c r="AM18" s="931">
        <f t="shared" si="5"/>
        <v>0</v>
      </c>
      <c r="AN18" s="931">
        <f t="shared" si="5"/>
        <v>0</v>
      </c>
      <c r="AO18" s="933">
        <f>IF(ISNUMBER(((NºAsuntos!I18/NºAsuntos!G18)*11)/factor_trimestre),((NºAsuntos!I18/NºAsuntos!G18)*11)/factor_trimestre," - ")</f>
        <v>11.146489104116222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3024</v>
      </c>
      <c r="G19" s="819">
        <f t="shared" si="7"/>
        <v>3053</v>
      </c>
      <c r="H19" s="820">
        <f t="shared" si="7"/>
        <v>0</v>
      </c>
      <c r="I19" s="819">
        <f t="shared" si="7"/>
        <v>0</v>
      </c>
      <c r="J19" s="821">
        <f t="shared" si="7"/>
        <v>0</v>
      </c>
      <c r="K19" s="819">
        <f t="shared" si="7"/>
        <v>0</v>
      </c>
      <c r="L19" s="822">
        <f t="shared" si="7"/>
        <v>0</v>
      </c>
      <c r="M19" s="819">
        <f t="shared" si="7"/>
        <v>0</v>
      </c>
      <c r="N19" s="820">
        <f t="shared" si="7"/>
        <v>301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826</v>
      </c>
      <c r="Z19" s="826">
        <f t="shared" si="8"/>
        <v>288</v>
      </c>
      <c r="AA19" s="827">
        <f t="shared" si="8"/>
        <v>3069</v>
      </c>
      <c r="AB19" s="827">
        <f t="shared" si="8"/>
        <v>0</v>
      </c>
      <c r="AC19" s="827">
        <f t="shared" si="8"/>
        <v>0</v>
      </c>
      <c r="AD19" s="828">
        <f t="shared" si="8"/>
        <v>0</v>
      </c>
      <c r="AE19" s="828">
        <f t="shared" si="8"/>
        <v>8400</v>
      </c>
      <c r="AF19" s="829">
        <f t="shared" si="8"/>
        <v>0</v>
      </c>
      <c r="AG19" s="830">
        <f t="shared" si="8"/>
        <v>0</v>
      </c>
      <c r="AH19" s="831">
        <f t="shared" si="8"/>
        <v>0</v>
      </c>
      <c r="AI19" s="829">
        <f t="shared" si="8"/>
        <v>0</v>
      </c>
      <c r="AJ19" s="819">
        <f t="shared" si="8"/>
        <v>492</v>
      </c>
      <c r="AK19" s="819">
        <f t="shared" si="8"/>
        <v>806</v>
      </c>
      <c r="AL19" s="819">
        <f t="shared" si="8"/>
        <v>0</v>
      </c>
      <c r="AM19" s="832">
        <f t="shared" si="8"/>
        <v>0</v>
      </c>
      <c r="AN19" s="822">
        <f>IF(ISNUMBER(Datos!K19/Datos!J19),Datos!K19/Datos!J19," - ")</f>
        <v>1.1910112359550562</v>
      </c>
      <c r="AO19" s="822">
        <f>IF(ISNUMBER(FIND("06",Criterios!A8,1)),(IF(ISNUMBER(((Datos!R19/Datos!Q19)*11)/factor_trimestre),((Datos!R19/Datos!Q19)*11)/factor_trimestre," - ")),(IF(ISNUMBER(((Datos!L19/Datos!K19)*11)/factor_trimestre),((Datos!L19/Datos!K19)*11)/factor_trimestre," - ")))</f>
        <v>11.995283018867925</v>
      </c>
      <c r="AP19" s="833" t="str">
        <f>IF(ISNUMBER(Datos!CI19/Datos!CJ19),Datos!CI19/Datos!CJ19," - ")</f>
        <v xml:space="preserve"> - </v>
      </c>
      <c r="AQ19" s="833">
        <f>IF(OR(ISNUMBER(FIND("01",Criterios!A8,1)),ISNUMBER(FIND("02",Criterios!A8,1)),ISNUMBER(FIND("03",Criterios!A8,1)),ISNUMBER(FIND("04",Criterios!A8,1))),(J19-Y19+K19)/(F19-K19),(I19-Y19+K19)/(F19-K19))</f>
        <v>-0.27314814814814814</v>
      </c>
      <c r="AR19" s="833">
        <f>IF(ISNUMBER((Datos!P19-Datos!Q19+O19)/(Datos!R19-Datos!P19+Datos!Q19-O19)),(Datos!P19-Datos!Q19+O19)/(Datos!R19-Datos!P19+Datos!Q19-O19)," - ")</f>
        <v>1.5500178848217479E-3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1745.9072140294284</v>
      </c>
      <c r="G21" s="551">
        <f>IF(ISNUMBER(STDEV(G8:G18)),STDEV(G8:G18),"-")</f>
        <v>1671.7406198331128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145.36299391523278</v>
      </c>
      <c r="AK21" s="251"/>
      <c r="AL21" s="251">
        <f>IF(ISNUMBER(STDEV(AL8:AL18)),STDEV(AL8:AL18),"-")</f>
        <v>0</v>
      </c>
      <c r="AM21" s="253">
        <f>IF(ISNUMBER(STDEV(AM8:AM18)),STDEV(AM8:AM18),"-")</f>
        <v>0</v>
      </c>
      <c r="AN21" s="538">
        <f>IF(ISNUMBER(STDEV(AN8:AN18)),STDEV(AN8:AN18),"-")</f>
        <v>0</v>
      </c>
      <c r="AO21" s="539">
        <f>IF(ISNUMBER(STDEV(AO8:AO18)),STDEV(AO8:AO18),"-")</f>
        <v>5.3079952436595441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78Z3jFAvZ9Fwt1PjZyxUeCuWODVWtiwg/EJXNurkHm2eZCDvvHSjO+BL9PLe10kgbz6dgTefHk27pyGHBjFhQ==" saltValue="ZhglZMtFRS/Eon6f4pC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ikCMQlPdwspFKyePS15qycE/+oGJ8VHe9yv55Svoz5WLoKCi8X6RP8y6kX7qF75rw7OejKz3O1QpZYNLi/2Q==" saltValue="51fQSMzwf8OAhAq1Y4l2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BYqMIUZzTdDVSiz8XlMywl95zryzI1leVXn9kwyjutLJk+HySgulH+j45RdDh4NgGNkBUlokzrNn53dlpZ/fw==" saltValue="g7LX7aAslYAKYsptlsoQ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NULES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0.28359511343804539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0.20053202782341009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VhxWTQNaX7R4Tdehk7+RXqvQ37avN9+v93SjSu6c+0Ma+0Grk/ng69Ourhn2RgKepdbRR6Zzu1FAd3oaEcq4w==" saltValue="McxSSyY2uEtUBDAK1nV0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TF6yZ1K+HUVnvXjI8tQ78Ib2cixAt20A2ET96c2LEJijqmT4gyV3E79ssBRroLOSFB5hOaa1uKd62Fw0RC+ww==" saltValue="UvYLpwt1Lp3Op/IGUx/6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NULES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5137</v>
      </c>
      <c r="D12" s="403">
        <f>IF(ISNUMBER(C12/Datos!BH12),C12/Datos!BH12," - ")</f>
        <v>856.16666666666663</v>
      </c>
      <c r="E12" s="402">
        <f>IF(ISNUMBER(IF(J_V="SI",Datos!J12,Datos!J12+Datos!Z12)),IF(J_V="SI",Datos!J12,Datos!J12+Datos!Z12)," - ")</f>
        <v>824</v>
      </c>
      <c r="F12" s="403">
        <f>IF(ISNUMBER(E12/B12),E12/B12," - ")</f>
        <v>137.33333333333334</v>
      </c>
      <c r="G12" s="402">
        <f>IF(ISNUMBER(IF(J_V="SI",Datos!K12,Datos!K12+Datos!AA12)),IF(J_V="SI",Datos!K12,Datos!K12+Datos!AA12)," - ")</f>
        <v>1146</v>
      </c>
      <c r="H12" s="403">
        <f>IF(ISNUMBER(G12/B12),G12/B12," - ")</f>
        <v>191</v>
      </c>
      <c r="I12" s="402">
        <f>IF(ISNUMBER(IF(J_V="SI",Datos!L12,Datos!L12+Datos!AB12)),IF(J_V="SI",Datos!L12,Datos!L12+Datos!AB12)," - ")</f>
        <v>4743</v>
      </c>
      <c r="J12" s="403">
        <f>IF(ISNUMBER(I12/B12),I12/B12," - ")</f>
        <v>790.5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5137</v>
      </c>
      <c r="D13" s="849" t="str">
        <f>IF(ISNUMBER(C13/Datos!BI13),C13/Datos!BI13," - ")</f>
        <v xml:space="preserve"> - </v>
      </c>
      <c r="E13" s="848">
        <f>SUBTOTAL(9,E8:E12)</f>
        <v>824</v>
      </c>
      <c r="F13" s="849">
        <f>IF(ISNUMBER(E13/B13),E13/B13," - ")</f>
        <v>137.33333333333334</v>
      </c>
      <c r="G13" s="848">
        <f>SUBTOTAL(9,G8:G12)</f>
        <v>1146</v>
      </c>
      <c r="H13" s="849">
        <f>IF(ISNUMBER(G13/B13),G13/B13," - ")</f>
        <v>191</v>
      </c>
      <c r="I13" s="848">
        <f>SUBTOTAL(9,I8:I12)</f>
        <v>4743</v>
      </c>
      <c r="J13" s="849">
        <f>IF(ISNUMBER(I13/B13),I13/B13," - ")</f>
        <v>790.5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3052</v>
      </c>
      <c r="D16" s="403">
        <f>IF(ISNUMBER(C16/Datos!BH16),C16/Datos!BH16," - ")</f>
        <v>508.66666666666669</v>
      </c>
      <c r="E16" s="402">
        <f>IF(ISNUMBER(IF(D_I="SI",Datos!J16,Datos!J16+Datos!AD16)),IF(D_I="SI",Datos!J16,Datos!J16+Datos!AD16)," - ")</f>
        <v>870</v>
      </c>
      <c r="F16" s="403">
        <f>IF(ISNUMBER(E16/B16),E16/B16," - ")</f>
        <v>145</v>
      </c>
      <c r="G16" s="402">
        <f>IF(ISNUMBER(IF(D_I="SI",Datos!K16,Datos!K16+Datos!AE16)),IF(D_I="SI",Datos!K16,Datos!K16+Datos!AE16)," - ")</f>
        <v>825</v>
      </c>
      <c r="H16" s="403">
        <f>IF(ISNUMBER(G16/B16),G16/B16," - ")</f>
        <v>137.5</v>
      </c>
      <c r="I16" s="402">
        <f>IF(ISNUMBER(IF(D_I="SI",Datos!L16,Datos!L16+Datos!AF16)),IF(D_I="SI",Datos!L16,Datos!L16+Datos!AF16)," - ")</f>
        <v>3069</v>
      </c>
      <c r="J16" s="403">
        <f>IF(ISNUMBER(I16/B16),I16/B16," - ")</f>
        <v>511.5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0</v>
      </c>
      <c r="F17" s="403">
        <f>IF(ISNUMBER(E17/B17),E17/B17," - ")</f>
        <v>0</v>
      </c>
      <c r="G17" s="402">
        <f>IF(ISNUMBER(IF(D_I="SI",Datos!K17,Datos!K17+Datos!AE17)),IF(D_I="SI",Datos!K17,Datos!K17+Datos!AE17)," - ")</f>
        <v>1</v>
      </c>
      <c r="H17" s="403">
        <f>IF(ISNUMBER(G17/B17),G17/B17," - ")</f>
        <v>1</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3053</v>
      </c>
      <c r="D18" s="849" t="str">
        <f>IF(ISNUMBER(C18/Datos!BI18),C18/Datos!BI18," - ")</f>
        <v xml:space="preserve"> - </v>
      </c>
      <c r="E18" s="848">
        <f>SUBTOTAL(9,E14:E17)</f>
        <v>870</v>
      </c>
      <c r="F18" s="849">
        <f>IF(ISNUMBER(E18/B18),E18/B18," - ")</f>
        <v>145</v>
      </c>
      <c r="G18" s="848">
        <f>SUBTOTAL(9,G14:G17)</f>
        <v>826</v>
      </c>
      <c r="H18" s="849">
        <f>IF(ISNUMBER(G18/B18),G18/B18," - ")</f>
        <v>137.66666666666666</v>
      </c>
      <c r="I18" s="848">
        <f>SUBTOTAL(9,I14:I17)</f>
        <v>3069</v>
      </c>
      <c r="J18" s="849">
        <f>IF(ISNUMBER(I18/B18),I18/B18," - ")</f>
        <v>511.5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8190</v>
      </c>
      <c r="D19" s="794" t="str">
        <f>IF(ISNUMBER(C19/Datos!BI19),C19/Datos!BI19," - ")</f>
        <v xml:space="preserve"> - </v>
      </c>
      <c r="E19" s="793">
        <f>SUBTOTAL(9,E9:E18)</f>
        <v>1694</v>
      </c>
      <c r="F19" s="794">
        <f>IF(ISNUMBER(E19/B19),E19/B19," - ")</f>
        <v>282.33333333333331</v>
      </c>
      <c r="G19" s="793">
        <f>SUBTOTAL(9,G9:G18)</f>
        <v>1972</v>
      </c>
      <c r="H19" s="794">
        <f>IF(ISNUMBER(G19/B19),G19/B19," - ")</f>
        <v>328.66666666666669</v>
      </c>
      <c r="I19" s="793">
        <f>SUBTOTAL(9,I9:I18)</f>
        <v>7812</v>
      </c>
      <c r="J19" s="794">
        <f>IF(ISNUMBER(I19/B19),I19/B19," - ")</f>
        <v>1302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DFrZuGpZ8NGPOsknzUzO0wTJjNeES9wG6wqdiN+/bdQoAA/9BiXgDkV0fC5dcBsOmol4dlqK9GOZ2TN6zMOTQ==" saltValue="Q/QvizoQOkp43MXQFImk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NULES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325</v>
      </c>
      <c r="AM12" s="689">
        <f>IF(ISNUMBER(Datos!N12+DatosP!N16),Datos!N12+DatosP!N16," - ")</f>
        <v>433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12.416230366492146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3.7369207772795218E-4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256</v>
      </c>
      <c r="AE13" s="938">
        <f t="shared" si="1"/>
        <v>0</v>
      </c>
      <c r="AF13" s="938">
        <f t="shared" si="1"/>
        <v>0</v>
      </c>
      <c r="AG13" s="938">
        <f t="shared" si="1"/>
        <v>0</v>
      </c>
      <c r="AH13" s="938">
        <f t="shared" si="1"/>
        <v>8031</v>
      </c>
      <c r="AI13" s="938">
        <f t="shared" si="1"/>
        <v>0</v>
      </c>
      <c r="AJ13" s="938">
        <f t="shared" si="1"/>
        <v>0</v>
      </c>
      <c r="AK13" s="938">
        <f t="shared" si="1"/>
        <v>0</v>
      </c>
      <c r="AL13" s="938">
        <f t="shared" si="1"/>
        <v>325</v>
      </c>
      <c r="AM13" s="938">
        <f t="shared" si="1"/>
        <v>433</v>
      </c>
      <c r="AN13" s="938">
        <f t="shared" si="1"/>
        <v>0</v>
      </c>
      <c r="AO13" s="938">
        <f t="shared" si="1"/>
        <v>0</v>
      </c>
      <c r="AP13" s="943">
        <f>IF(ISNUMBER(((Datos!L13/Datos!K13)*11)/factor_trimestre),((Datos!L13/Datos!K13)*11)/factor_trimestre," - ")</f>
        <v>12.643253234750462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3.7369207772795218E-4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11.146489104116222</v>
      </c>
      <c r="AQ18" s="943">
        <f>IF(ISNUMBER(((Datos!M18/Datos!L18)*11)/factor_trimestre),((Datos!M18/Datos!L18)*11)/factor_trimestre," - ")</f>
        <v>0.16324535679374388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2.7855153203342618E-2</v>
      </c>
      <c r="AW18" s="945">
        <f>IF(ISNUMBER((Datos!Q18-Datos!R18)/(Datos!S18-Datos!Q18+Datos!R18)),(Datos!Q18-Datos!R18)/(Datos!S18-Datos!Q18+Datos!R18)," - ")</f>
        <v>-0.11750348675034868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256</v>
      </c>
      <c r="AE19" s="956">
        <f t="shared" si="5"/>
        <v>0</v>
      </c>
      <c r="AF19" s="957">
        <f t="shared" si="5"/>
        <v>0</v>
      </c>
      <c r="AG19" s="957">
        <f t="shared" si="5"/>
        <v>0</v>
      </c>
      <c r="AH19" s="957">
        <f t="shared" si="5"/>
        <v>8031</v>
      </c>
      <c r="AI19" s="957">
        <f t="shared" si="5"/>
        <v>0</v>
      </c>
      <c r="AJ19" s="958">
        <f t="shared" si="5"/>
        <v>0</v>
      </c>
      <c r="AK19" s="958">
        <f t="shared" si="5"/>
        <v>0</v>
      </c>
      <c r="AL19" s="950">
        <f t="shared" si="5"/>
        <v>325</v>
      </c>
      <c r="AM19" s="950">
        <f t="shared" si="5"/>
        <v>433</v>
      </c>
      <c r="AN19" s="950">
        <f t="shared" si="5"/>
        <v>0</v>
      </c>
      <c r="AO19" s="950">
        <f t="shared" si="5"/>
        <v>0</v>
      </c>
      <c r="AP19" s="950">
        <f>IF(ISNUMBER(((Datos!L19/Datos!K19)*11)/factor_trimestre),((Datos!L19/Datos!K19)*11)/factor_trimestre," - ")</f>
        <v>11.995283018867925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1.5500178848217479E-3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187.63883748662838</v>
      </c>
      <c r="AM21" s="735"/>
      <c r="AN21" s="735">
        <f>IF(ISNUMBER(STDEV(AN8:AN18)),STDEV(AN8:AN18),"-")</f>
        <v>0</v>
      </c>
      <c r="AO21" s="741">
        <f>IF(ISNUMBER(STDEV(AO8:AO18)),STDEV(AO8:AO18),"-")</f>
        <v>0</v>
      </c>
      <c r="AP21" s="778">
        <f>IF(ISNUMBER(STDEV(AP8:AP18)),STDEV(AP8:AP18),"-")</f>
        <v>0.80664791150843385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ZM2I7Rj/61rZSAb/gsUvnp2ZKeN+awBJV9qC1vOdzh2rPaS73dh6BqAczUlvugTaB9N+jR5e7hRw8+23fVV5A==" saltValue="MmEfXQ99cFQn1em6CxX73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NULES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WHheQi9ibN+V+RIMhMAYkxKtxQhT6E/j2cdKnsTDH07G4x+c/vazz1JrzGT7M7dLjONnRxEh7QPSLpa5D9MRQ==" saltValue="PU4CaeypGo3Y+N2EgyZu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NULES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325</v>
      </c>
      <c r="E12" s="403">
        <f t="shared" si="0"/>
        <v>54.166666666666664</v>
      </c>
      <c r="F12" s="402">
        <f>IF(ISNUMBER(Datos!N12),Datos!N12," - ")</f>
        <v>433</v>
      </c>
      <c r="G12" s="403">
        <f t="shared" si="1"/>
        <v>72.166666666666671</v>
      </c>
      <c r="H12" s="402">
        <f>IF(ISNUMBER(Datos!O12),Datos!O12," - ")</f>
        <v>636</v>
      </c>
      <c r="I12" s="403">
        <f t="shared" si="2"/>
        <v>106</v>
      </c>
      <c r="BZ12" s="1185">
        <f>Datos!EZ12</f>
        <v>0</v>
      </c>
    </row>
    <row r="13" spans="1:78" ht="14.25" thickTop="1" thickBot="1">
      <c r="A13" s="847" t="str">
        <f>Datos!A13</f>
        <v>TOTAL</v>
      </c>
      <c r="B13" s="848">
        <f>Datos!AP13</f>
        <v>6</v>
      </c>
      <c r="C13" s="850">
        <f>Datos!AR13</f>
        <v>6</v>
      </c>
      <c r="D13" s="848">
        <f>SUBTOTAL(9,D9:D12)</f>
        <v>325</v>
      </c>
      <c r="E13" s="849">
        <f t="shared" si="0"/>
        <v>54.166666666666664</v>
      </c>
      <c r="F13" s="848">
        <f>SUBTOTAL(9,F9:F12)</f>
        <v>433</v>
      </c>
      <c r="G13" s="849">
        <f t="shared" si="1"/>
        <v>72.166666666666671</v>
      </c>
      <c r="H13" s="848">
        <f>SUBTOTAL(9,H9:H12)</f>
        <v>636</v>
      </c>
      <c r="I13" s="849">
        <f>IF(ISNUMBER(H13/B13),H13/B13," - ")</f>
        <v>106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167</v>
      </c>
      <c r="E16" s="403">
        <f t="shared" si="3"/>
        <v>27.833333333333332</v>
      </c>
      <c r="F16" s="402">
        <f>IF(ISNUMBER(Datos!N16),Datos!N16," - ")</f>
        <v>373</v>
      </c>
      <c r="G16" s="403">
        <f t="shared" si="4"/>
        <v>62.166666666666664</v>
      </c>
      <c r="H16" s="402">
        <f>IF(ISNUMBER(Datos!O16),Datos!O16," - ")</f>
        <v>10</v>
      </c>
      <c r="I16" s="403">
        <f t="shared" si="5"/>
        <v>1.6666666666666667</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167</v>
      </c>
      <c r="E18" s="849">
        <f t="shared" si="3"/>
        <v>27.833333333333332</v>
      </c>
      <c r="F18" s="848">
        <f>SUBTOTAL(9,F15:F17)</f>
        <v>373</v>
      </c>
      <c r="G18" s="849">
        <f t="shared" si="4"/>
        <v>62.166666666666664</v>
      </c>
      <c r="H18" s="848">
        <f>SUBTOTAL(9,H15:H17)</f>
        <v>10</v>
      </c>
      <c r="I18" s="849">
        <f>IF(ISNUMBER(H18/B18),H18/B18," - ")</f>
        <v>1.6666666666666667</v>
      </c>
      <c r="BZ18" s="1185"/>
    </row>
    <row r="19" spans="1:78" ht="14.25" thickTop="1" thickBot="1">
      <c r="A19" s="792" t="str">
        <f>Datos!A19</f>
        <v>TOTAL JURISDICCIONES</v>
      </c>
      <c r="B19" s="793">
        <f>Datos!AP19</f>
        <v>6</v>
      </c>
      <c r="C19" s="793">
        <f>Datos!AR19</f>
        <v>6</v>
      </c>
      <c r="D19" s="793">
        <f>SUBTOTAL(9,D8:D18)</f>
        <v>492</v>
      </c>
      <c r="E19" s="794">
        <f>IF(ISNUMBER(D19/B19),D19/B19," - ")</f>
        <v>82</v>
      </c>
      <c r="F19" s="793">
        <f>SUBTOTAL(9,F8:F18)</f>
        <v>806</v>
      </c>
      <c r="G19" s="794">
        <f>IF(ISNUMBER(F19/B19),F19/B19," - ")</f>
        <v>134.33333333333334</v>
      </c>
      <c r="H19" s="793">
        <f>SUBTOTAL(9,H8:H18)</f>
        <v>646</v>
      </c>
      <c r="I19" s="794">
        <f>IF(ISNUMBER(H19/B19),H19/B19," - ")</f>
        <v>107.66666666666667</v>
      </c>
    </row>
    <row r="22" spans="1:78">
      <c r="A22" s="390" t="str">
        <f>Criterios!A4</f>
        <v>Fecha Informe: 17 mar. 2026</v>
      </c>
    </row>
    <row r="27" spans="1:78">
      <c r="A27" s="413"/>
    </row>
  </sheetData>
  <sheetProtection algorithmName="SHA-512" hashValue="2nj/VJha6xBexsxU1xD3/o13ljIqdEioG+wwcORu1jNHaZJFNjLXHwOIeN22LKr4piX+UNj6Aubz9K0b5INv5w==" saltValue="Wibsiund2goYhNl5dref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NULES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259</v>
      </c>
      <c r="C12" s="433">
        <f>IF(ISNUMBER(Datos!Q12),Datos!Q12," - ")</f>
        <v>256</v>
      </c>
      <c r="D12" s="407">
        <f>IF(ISNUMBER(Datos!R12),Datos!R12," - ")</f>
        <v>8031</v>
      </c>
    </row>
    <row r="13" spans="1:4" ht="14.25" thickTop="1" thickBot="1">
      <c r="A13" s="847" t="str">
        <f>Datos!A13</f>
        <v>TOTAL</v>
      </c>
      <c r="B13" s="848">
        <f>SUBTOTAL(9,B9:B12)</f>
        <v>259</v>
      </c>
      <c r="C13" s="852">
        <f>SUBTOTAL(9,C9:C12)</f>
        <v>256</v>
      </c>
      <c r="D13" s="850">
        <f>SUBTOTAL(9,D9:D12)</f>
        <v>8031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42</v>
      </c>
      <c r="C16" s="433">
        <f>IF(ISNUMBER(Datos!Q16),Datos!Q16," - ")</f>
        <v>32</v>
      </c>
      <c r="D16" s="407">
        <f>IF(ISNUMBER(Datos!R16),Datos!R16," - ")</f>
        <v>369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42</v>
      </c>
      <c r="C18" s="852">
        <f>SUBTOTAL(9,C15:C17)</f>
        <v>32</v>
      </c>
      <c r="D18" s="850">
        <f>SUBTOTAL(9,D15:D17)</f>
        <v>369</v>
      </c>
    </row>
    <row r="19" spans="1:4" ht="16.5" customHeight="1" thickTop="1" thickBot="1">
      <c r="A19" s="792" t="str">
        <f>Datos!A19</f>
        <v>TOTAL JURISDICCIONES</v>
      </c>
      <c r="B19" s="797">
        <f>SUBTOTAL(9,B8:B18)</f>
        <v>301</v>
      </c>
      <c r="C19" s="798">
        <f>SUBTOTAL(9,C8:C18)</f>
        <v>288</v>
      </c>
      <c r="D19" s="799">
        <f>SUBTOTAL(9,D8:D18)</f>
        <v>8400</v>
      </c>
    </row>
    <row r="20" spans="1:4" ht="7.5" customHeight="1"/>
    <row r="21" spans="1:4" ht="6" customHeight="1"/>
    <row r="22" spans="1:4">
      <c r="A22" s="390" t="str">
        <f>Criterios!A4</f>
        <v>Fecha Informe: 17 mar. 2026</v>
      </c>
    </row>
    <row r="27" spans="1:4">
      <c r="A27" s="413"/>
    </row>
  </sheetData>
  <sheetProtection algorithmName="SHA-512" hashValue="Z4lfoxDTjJWP3g+ArPgZ4cfxKCaxp58IPuM4/qesQ67ergYD0O/Vn+9honiQj3BuejDHwXmO2QqMWQMLihQU7w==" saltValue="MXxyq4qi6cVzRLsfiMAK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NULES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0.23455900024032683</v>
      </c>
      <c r="C12" s="455">
        <f>IF(ISNUMBER(
   IF(J_V="SI",(Datos!J12-Datos!T12)/Datos!T12,(Datos!J12+Datos!Z12-(Datos!T12+Datos!AH12))/(Datos!T12+Datos!AH12))
     ),IF(J_V="SI",(Datos!J12-Datos!T12)/Datos!T12,(Datos!J12+Datos!Z12-(Datos!T12+Datos!AH12))/(Datos!T12+Datos!AH12))," - ")</f>
        <v>-0.42134831460674155</v>
      </c>
      <c r="D12" s="455">
        <f>IF(ISNUMBER(
   IF(J_V="SI",(Datos!K12-Datos!U12)/Datos!U12,(Datos!K12+Datos!AA12-(Datos!U12+Datos!AI12))/(Datos!U12+Datos!AI12))
     ),IF(J_V="SI",(Datos!K12-Datos!U12)/Datos!U12,(Datos!K12+Datos!AA12-(Datos!U12+Datos!AI12))/(Datos!U12+Datos!AI12))," - ")</f>
        <v>3.5026269702276708E-3</v>
      </c>
      <c r="E12" s="455">
        <f>IF(ISNUMBER(
   IF(J_V="SI",(Datos!L12-Datos!V12)/Datos!V12,(Datos!L12+Datos!AB12-(Datos!V12+Datos!AJ12))/(Datos!V12+Datos!AJ12))
     ),IF(J_V="SI",(Datos!L12-Datos!V12)/Datos!V12,(Datos!L12+Datos!AB12-(Datos!V12+Datos!AJ12))/(Datos!V12+Datos!AJ12))," - ")</f>
        <v>9.5887245841035126E-2</v>
      </c>
      <c r="F12" s="455">
        <f>IF(ISNUMBER((Datos!M12-Datos!W12)/Datos!W12),(Datos!M12-Datos!W12)/Datos!W12," - ")</f>
        <v>9.4276094276094277E-2</v>
      </c>
      <c r="G12" s="456">
        <f>IF(ISNUMBER((Datos!N12-Datos!X12)/Datos!X12),(Datos!N12-Datos!X12)/Datos!X12," - ")</f>
        <v>-1.366742596810934E-2</v>
      </c>
      <c r="H12" s="454">
        <f>IF(ISNUMBER(((NºAsuntos!G12/NºAsuntos!E12)-Datos!BD12)/Datos!BD12),((NºAsuntos!G12/NºAsuntos!E12)-Datos!BD12)/Datos!BD12," - ")</f>
        <v>0.73420842330777192</v>
      </c>
      <c r="I12" s="455">
        <f>IF(ISNUMBER(((NºAsuntos!I12/NºAsuntos!G12)-Datos!BE12)/Datos!BE12),((NºAsuntos!I12/NºAsuntos!G12)-Datos!BE12)/Datos!BE12," - ")</f>
        <v>9.206215946811698E-2</v>
      </c>
      <c r="J12" s="460">
        <f>IF(ISNUMBER((('Resol  Asuntos'!D12/NºAsuntos!G12)-Datos!BF12)/Datos!BF12),(('Resol  Asuntos'!D12/NºAsuntos!G12)-Datos!BF12)/Datos!BF12," - ")</f>
        <v>-0.26226510353929877</v>
      </c>
      <c r="K12" s="461">
        <f>IF(ISNUMBER((((NºAsuntos!C12+NºAsuntos!E12)/NºAsuntos!G12)-Datos!BG12)/Datos!BG12),(((NºAsuntos!C12+NºAsuntos!E12)/NºAsuntos!G12)-Datos!BG12)/Datos!BG12," - ")</f>
        <v>6.3597800765888501E-2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0.23455900024032683</v>
      </c>
      <c r="C13" s="854">
        <f>IF(ISNUMBER(
   IF(J_V="SI",(Datos!J13-Datos!T13)/Datos!T13,(Datos!J13+Datos!Z13-(Datos!T13+Datos!AH13))/(Datos!T13+Datos!AH13))
     ),IF(J_V="SI",(Datos!J13-Datos!T13)/Datos!T13,(Datos!J13+Datos!Z13-(Datos!T13+Datos!AH13))/(Datos!T13+Datos!AH13))," - ")</f>
        <v>-0.42134831460674155</v>
      </c>
      <c r="D13" s="854">
        <f>IF(ISNUMBER(
   IF(J_V="SI",(Datos!K13-Datos!U13)/Datos!U13,(Datos!K13+Datos!AA13-(Datos!U13+Datos!AI13))/(Datos!U13+Datos!AI13))
     ),IF(J_V="SI",(Datos!K13-Datos!U13)/Datos!U13,(Datos!K13+Datos!AA13-(Datos!U13+Datos!AI13))/(Datos!U13+Datos!AI13))," - ")</f>
        <v>3.5026269702276708E-3</v>
      </c>
      <c r="E13" s="854">
        <f>IF(ISNUMBER(
   IF(J_V="SI",(Datos!L13-Datos!V13)/Datos!V13,(Datos!L13+Datos!AB13-(Datos!V13+Datos!AJ13))/(Datos!V13+Datos!AJ13))
     ),IF(J_V="SI",(Datos!L13-Datos!V13)/Datos!V13,(Datos!L13+Datos!AB13-(Datos!V13+Datos!AJ13))/(Datos!V13+Datos!AJ13))," - ")</f>
        <v>9.5887245841035126E-2</v>
      </c>
      <c r="F13" s="855">
        <f>IF(ISNUMBER((Datos!M13-Datos!W13)/Datos!W13),(Datos!M13-Datos!W13)/Datos!W13," - ")</f>
        <v>9.4276094276094277E-2</v>
      </c>
      <c r="G13" s="856">
        <f>IF(ISNUMBER((Datos!N13-Datos!X13)/Datos!X13),(Datos!N13-Datos!X13)/Datos!X13," - ")</f>
        <v>-1.366742596810934E-2</v>
      </c>
      <c r="H13" s="856">
        <f>IF(ISNUMBER(((NºAsuntos!G13/NºAsuntos!E13)-Datos!BD13)/Datos!BD13),((NºAsuntos!G13/NºAsuntos!E13)-Datos!BD13)/Datos!BD13," - ")</f>
        <v>0.73420842330777192</v>
      </c>
      <c r="I13" s="856">
        <f>IF(ISNUMBER(((NºAsuntos!I13/NºAsuntos!G13)-Datos!BE13)/Datos!BE13),((NºAsuntos!I13/NºAsuntos!G13)-Datos!BE13)/Datos!BE13," - ")</f>
        <v>9.206215946811698E-2</v>
      </c>
      <c r="J13" s="856">
        <f>IF(ISNUMBER((('Resol  Asuntos'!D13/NºAsuntos!G13)-Datos!BF13)/Datos!BF13),(('Resol  Asuntos'!D13/NºAsuntos!G13)-Datos!BF13)/Datos!BF13," - ")</f>
        <v>-0.26226510353929877</v>
      </c>
      <c r="K13" s="856">
        <f>IF(ISNUMBER((((NºAsuntos!C13+NºAsuntos!E13)/NºAsuntos!G13)-Datos!BG13)/Datos!BG13),(((NºAsuntos!C13+NºAsuntos!E13)/NºAsuntos!G13)-Datos!BG13)/Datos!BG13," - ")</f>
        <v>6.3597800765888501E-2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0.2087128712871287</v>
      </c>
      <c r="C16" s="455">
        <f>IF(ISNUMBER(
   IF(D_I="SI",(Datos!J16-Datos!T16)/Datos!T16,(Datos!J16+Datos!AD16-(Datos!T16+Datos!AL16))/(Datos!T16+Datos!AL16))
     ),IF(D_I="SI",(Datos!J16-Datos!T16)/Datos!T16,(Datos!J16+Datos!AD16-(Datos!T16+Datos!AL16))/(Datos!T16+Datos!AL16))," - ")</f>
        <v>0.10406091370558376</v>
      </c>
      <c r="D16" s="455">
        <f>IF(ISNUMBER(
   IF(D_I="SI",(Datos!K16-Datos!U16)/Datos!U16,(Datos!K16+Datos!AE16-(Datos!U16+Datos!AM16))/(Datos!U16+Datos!AM16))
     ),IF(D_I="SI",(Datos!K16-Datos!U16)/Datos!U16,(Datos!K16+Datos!AE16-(Datos!U16+Datos!AM16))/(Datos!U16+Datos!AM16))," - ")</f>
        <v>0.26533742331288346</v>
      </c>
      <c r="E16" s="455">
        <f>IF(ISNUMBER(
   IF(D_I="SI",(Datos!L16-Datos!V16)/Datos!V16,(Datos!L16+Datos!AF16-(Datos!V16+Datos!AN16))/(Datos!V16+Datos!AN16))
     ),IF(D_I="SI",(Datos!L16-Datos!V16)/Datos!V16,(Datos!L16+Datos!AF16-(Datos!V16+Datos!AN16))/(Datos!V16+Datos!AN16))," - ")</f>
        <v>0.14472211861245804</v>
      </c>
      <c r="F16" s="455">
        <f>IF(ISNUMBER((Datos!M16-Datos!W16)/Datos!W16),(Datos!M16-Datos!W16)/Datos!W16," - ")</f>
        <v>5.6962025316455694E-2</v>
      </c>
      <c r="G16" s="456">
        <f>IF(ISNUMBER((Datos!N16-Datos!X16)/Datos!X16),(Datos!N16-Datos!X16)/Datos!X16," - ")</f>
        <v>0.42366412213740456</v>
      </c>
      <c r="H16" s="454">
        <f>IF(ISNUMBER(((NºAsuntos!G16/NºAsuntos!E16)-Datos!BD16)/Datos!BD16),((NºAsuntos!G16/NºAsuntos!E16)-Datos!BD16)/Datos!BD16," - ")</f>
        <v>0.14607573513856564</v>
      </c>
      <c r="I16" s="455">
        <f>IF(ISNUMBER(((NºAsuntos!I16/NºAsuntos!G16)-Datos!BE16)/Datos!BE16),((NºAsuntos!I16/NºAsuntos!G16)-Datos!BE16)/Datos!BE16," - ")</f>
        <v>-9.5322640805669503E-2</v>
      </c>
      <c r="J16" s="460">
        <f>IF(ISNUMBER((('Resol  Asuntos'!D16/NºAsuntos!G16)-Datos!BF16)/Datos!BF16),(('Resol  Asuntos'!D16/NºAsuntos!G16)-Datos!BF16)/Datos!BF16," - ")</f>
        <v>-0.16467970847717681</v>
      </c>
      <c r="K16" s="461">
        <f>IF(ISNUMBER((((NºAsuntos!C16+NºAsuntos!E16)/NºAsuntos!G16)-Datos!BG16)/Datos!BG16),(((NºAsuntos!C16+NºAsuntos!E16)/NºAsuntos!G16)-Datos!BG16)/Datos!BG16," - ")</f>
        <v>-6.4422431376853329E-2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-0.83333333333333337</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-0.66666666666666663</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0.20624259186092453</v>
      </c>
      <c r="C18" s="854">
        <f>IF(ISNUMBER(
   IF(Criterios!B14="SI",(Datos!J18-Datos!T18)/Datos!T18,(Datos!J18+Datos!AD18-(Datos!T18+Datos!AL18))/(Datos!T18+Datos!AL18))
     ),IF(Criterios!B14="SI",(Datos!J18-Datos!T18)/Datos!T18,(Datos!J18+Datos!AD18-(Datos!T18+Datos!AL18))/(Datos!T18+Datos!AL18))," - ")</f>
        <v>0.10406091370558376</v>
      </c>
      <c r="D18" s="854">
        <f>IF(ISNUMBER(
   IF(Criterios!B14="SI",(Datos!K18-Datos!U18)/Datos!U18,(Datos!K18+Datos!AE18-(Datos!U18+Datos!AM18))/(Datos!U18+Datos!AM18))
     ),IF(Criterios!B14="SI",(Datos!K18-Datos!U18)/Datos!U18,(Datos!K18+Datos!AE18-(Datos!U18+Datos!AM18))/(Datos!U18+Datos!AM18))," - ")</f>
        <v>0.26106870229007634</v>
      </c>
      <c r="E18" s="854">
        <f>IF(ISNUMBER(
   IF(Criterios!B14="SI",(Datos!L18-Datos!V18)/Datos!V18,(Datos!L18+Datos!AF18-(Datos!V18+Datos!AN18))/(Datos!V18+Datos!AN18))
     ),IF(Criterios!B14="SI",(Datos!L18-Datos!V18)/Datos!V18,(Datos!L18+Datos!AF18-(Datos!V18+Datos!AN18))/(Datos!V18+Datos!AN18))," - ")</f>
        <v>0.14344262295081966</v>
      </c>
      <c r="F18" s="855">
        <f>IF(ISNUMBER((Datos!M18-Datos!W18)/Datos!W18),(Datos!M18-Datos!W18)/Datos!W18," - ")</f>
        <v>5.6962025316455694E-2</v>
      </c>
      <c r="G18" s="856">
        <f>IF(ISNUMBER((Datos!N18-Datos!X18)/Datos!X18),(Datos!N18-Datos!X18)/Datos!X18," - ")</f>
        <v>0.42366412213740456</v>
      </c>
      <c r="H18" s="856">
        <f>IF(ISNUMBER(((NºAsuntos!G18/NºAsuntos!E18)-Datos!BD18)/Datos!BD18),((NºAsuntos!G18/NºAsuntos!E18)-Datos!BD18)/Datos!BD18," - ")</f>
        <v>0.14220935333859783</v>
      </c>
      <c r="I18" s="856">
        <f>IF(ISNUMBER(((NºAsuntos!I18/NºAsuntos!G18)-Datos!BE18)/Datos!BE18),((NºAsuntos!I18/NºAsuntos!G18)-Datos!BE18)/Datos!BE18," - ")</f>
        <v>-9.3274917635851273E-2</v>
      </c>
      <c r="J18" s="856">
        <f>IF(ISNUMBER((('Resol  Asuntos'!D18/NºAsuntos!G18)-Datos!BF18)/Datos!BF18),(('Resol  Asuntos'!D18/NºAsuntos!G18)-Datos!BF18)/Datos!BF18," - ")</f>
        <v>-0.1618521469948202</v>
      </c>
      <c r="K18" s="856">
        <f>IF(ISNUMBER((((NºAsuntos!C18+NºAsuntos!E18)/NºAsuntos!G18)-Datos!BG18)/Datos!BG18),(((NºAsuntos!C18+NºAsuntos!E18)/NºAsuntos!G18)-Datos!BG18)/Datos!BG18," - ")</f>
        <v>-6.2713615276925774E-2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0.22384937238493724</v>
      </c>
      <c r="C19" s="801">
        <f>IF(ISNUMBER(
   IF(J_V="SI",(Datos!J19-Datos!T19)/Datos!T19,(Datos!J19+Datos!Z19-(Datos!T19+Datos!AH19))/(Datos!T19+Datos!AH19))
     ),IF(J_V="SI",(Datos!J19-Datos!T19)/Datos!T19,(Datos!J19+Datos!Z19-(Datos!T19+Datos!AH19))/(Datos!T19+Datos!AH19))," - ")</f>
        <v>-0.23417721518987342</v>
      </c>
      <c r="D19" s="801">
        <f>IF(ISNUMBER(
   IF(J_V="SI",(Datos!K19-Datos!U19)/Datos!U19,(Datos!K19+Datos!AA19-(Datos!U19+Datos!AI19))/(Datos!U19+Datos!AI19))
     ),IF(J_V="SI",(Datos!K19-Datos!U19)/Datos!U19,(Datos!K19+Datos!AA19-(Datos!U19+Datos!AI19))/(Datos!U19+Datos!AI19))," - ")</f>
        <v>9.7384529771841963E-2</v>
      </c>
      <c r="E19" s="801">
        <f>IF(ISNUMBER(
   IF(J_V="SI",(Datos!L19-Datos!V19)/Datos!V19,(Datos!L19+Datos!AB19-(Datos!V19+Datos!AJ19))/(Datos!V19+Datos!AJ19))
     ),IF(J_V="SI",(Datos!L19-Datos!V19)/Datos!V19,(Datos!L19+Datos!AB19-(Datos!V19+Datos!AJ19))/(Datos!V19+Datos!AJ19))," - ")</f>
        <v>0.11409013120365089</v>
      </c>
      <c r="F19" s="802">
        <f>IF(ISNUMBER((Datos!M19-Datos!W19)/Datos!W19),(Datos!M19-Datos!W19)/Datos!W19," - ")</f>
        <v>8.1318681318681321E-2</v>
      </c>
      <c r="G19" s="803">
        <f>IF(ISNUMBER((Datos!N19-Datos!X19)/Datos!X19),(Datos!N19-Datos!X19)/Datos!X19," - ")</f>
        <v>0.14978601997146934</v>
      </c>
      <c r="H19" s="804">
        <f>IF(ISNUMBER((Tasas!B19-Datos!BD19)/Datos!BD19),(Tasas!B19-Datos!BD19)/Datos!BD19," - ")</f>
        <v>0.43294839424752923</v>
      </c>
      <c r="I19" s="805">
        <f>IF(ISNUMBER((Tasas!C19-Datos!BE19)/Datos!BE19),(Tasas!C19-Datos!BE19)/Datos!BE19," - ")</f>
        <v>1.5223106375740744E-2</v>
      </c>
      <c r="J19" s="806">
        <f>IF(ISNUMBER((Tasas!D19-Datos!BF19)/Datos!BF19),(Tasas!D19-Datos!BF19)/Datos!BF19," - ")</f>
        <v>-0.24901383183666811</v>
      </c>
      <c r="K19" s="806">
        <f>IF(ISNUMBER((Tasas!E19-Datos!BG19)/Datos!BG19),(Tasas!E19-Datos!BG19)/Datos!BG19," - ")</f>
        <v>1.1553255004018661E-2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Fi5saH+Yl/HppRiXMMYVDvYuTKRu5PcSDmId9czhFJehm2cYFZc1/KB6ZIXM63DO+q8uJoOwzs6kDQWO3LHYQ==" saltValue="3yh7AlqfoAJIIHh7EfKK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NULES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1.3907766990291262</v>
      </c>
      <c r="C12" s="442">
        <f>IF(ISNUMBER(NºAsuntos!I12/NºAsuntos!G12),NºAsuntos!I12/NºAsuntos!G12," - ")</f>
        <v>4.1387434554973819</v>
      </c>
      <c r="D12" s="443">
        <f>IF(ISNUMBER('Resol  Asuntos'!D12/NºAsuntos!G12),'Resol  Asuntos'!D12/NºAsuntos!G12," - ")</f>
        <v>0.28359511343804539</v>
      </c>
      <c r="E12" s="444">
        <f>IF(ISNUMBER((NºAsuntos!C12+NºAsuntos!E12)/NºAsuntos!G12),(NºAsuntos!C12+NºAsuntos!E12)/NºAsuntos!G12," - ")</f>
        <v>5.2015706806282722</v>
      </c>
      <c r="G12" s="462"/>
    </row>
    <row r="13" spans="1:7" ht="14.25" thickTop="1" thickBot="1">
      <c r="A13" s="847" t="str">
        <f>Datos!A13</f>
        <v>TOTAL</v>
      </c>
      <c r="B13" s="857">
        <f>IF(ISNUMBER(NºAsuntos!G13/NºAsuntos!E13),NºAsuntos!G13/NºAsuntos!E13," - ")</f>
        <v>1.3907766990291262</v>
      </c>
      <c r="C13" s="858">
        <f>IF(ISNUMBER(NºAsuntos!I13/NºAsuntos!G13),NºAsuntos!I13/NºAsuntos!G13," - ")</f>
        <v>4.1387434554973819</v>
      </c>
      <c r="D13" s="859">
        <f>IF(ISNUMBER('Resol  Asuntos'!D13/NºAsuntos!G13),'Resol  Asuntos'!D13/NºAsuntos!G13," - ")</f>
        <v>0.28359511343804539</v>
      </c>
      <c r="E13" s="860">
        <f>IF(ISNUMBER((NºAsuntos!C13+NºAsuntos!E13)/NºAsuntos!G13),(NºAsuntos!C13+NºAsuntos!E13)/NºAsuntos!G13," - ")</f>
        <v>5.2015706806282722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0.94827586206896552</v>
      </c>
      <c r="C16" s="442">
        <f>IF(ISNUMBER(NºAsuntos!I16/NºAsuntos!G16),NºAsuntos!I16/NºAsuntos!G16," - ")</f>
        <v>3.72</v>
      </c>
      <c r="D16" s="443">
        <f>IF(ISNUMBER('Resol  Asuntos'!D16/NºAsuntos!G16),'Resol  Asuntos'!D16/NºAsuntos!G16," - ")</f>
        <v>0.20242424242424242</v>
      </c>
      <c r="E16" s="444">
        <f>IF(ISNUMBER((NºAsuntos!C16+NºAsuntos!E16)/NºAsuntos!G16),(NºAsuntos!C16+NºAsuntos!E16)/NºAsuntos!G16," - ")</f>
        <v>4.7539393939393939</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0.94942528735632181</v>
      </c>
      <c r="C18" s="858">
        <f>IF(ISNUMBER(NºAsuntos!I18/NºAsuntos!G18),NºAsuntos!I18/NºAsuntos!G18," - ")</f>
        <v>3.7154963680387407</v>
      </c>
      <c r="D18" s="861">
        <f>IF(ISNUMBER('Resol  Asuntos'!D18/NºAsuntos!G18),'Resol  Asuntos'!D18/NºAsuntos!G18," - ")</f>
        <v>0.20217917675544794</v>
      </c>
      <c r="E18" s="860">
        <f>IF(ISNUMBER((NºAsuntos!C18+NºAsuntos!E18)/NºAsuntos!G18),(NºAsuntos!C18+NºAsuntos!E18)/NºAsuntos!G18," - ")</f>
        <v>4.7493946731234864</v>
      </c>
      <c r="G18" s="462"/>
    </row>
    <row r="19" spans="1:7" ht="15.75" customHeight="1" thickTop="1" thickBot="1">
      <c r="A19" s="792" t="str">
        <f>Datos!A19</f>
        <v>TOTAL JURISDICCIONES</v>
      </c>
      <c r="B19" s="807">
        <f>IF(ISNUMBER(NºAsuntos!G19/NºAsuntos!E19),NºAsuntos!G19/NºAsuntos!E19," - ")</f>
        <v>1.1641086186540732</v>
      </c>
      <c r="C19" s="808">
        <f>IF(ISNUMBER(NºAsuntos!I19/NºAsuntos!G19),NºAsuntos!I19/NºAsuntos!G19," - ")</f>
        <v>3.9614604462474645</v>
      </c>
      <c r="D19" s="809">
        <f>IF(ISNUMBER('Resol  Asuntos'!D19/NºAsuntos!G19),'Resol  Asuntos'!D19/NºAsuntos!G19," - ")</f>
        <v>0.24949290060851928</v>
      </c>
      <c r="E19" s="810">
        <f>IF(ISNUMBER((NºAsuntos!C19+NºAsuntos!E19)/NºAsuntos!G19),(NºAsuntos!C19+NºAsuntos!E19)/NºAsuntos!G19," - ")</f>
        <v>5.0121703853955379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FgXZKYtcITyAKL19GN1UzkrMZy8ZXsCOkbZdSrQLqOtLAXSB0frx1Qwrx4SeEcLacd1yCQvY1qBOhx7ptPdzg==" saltValue="uxyM344vUkkyR2wuTrnz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NULES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256</v>
      </c>
      <c r="Y12" s="333">
        <f t="shared" si="0"/>
        <v>256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325</v>
      </c>
      <c r="AJ12" s="228" t="str">
        <f>IF(ISNUMBER(Datos!BW12),Datos!BW12," - ")</f>
        <v xml:space="preserve"> - </v>
      </c>
      <c r="AK12" s="227" t="str">
        <f>IF(ISNUMBER(Datos!BX12),Datos!BX12," - ")</f>
        <v xml:space="preserve"> - </v>
      </c>
      <c r="AL12" s="242">
        <f>IF(ISNUMBER(NºAsuntos!G12/NºAsuntos!E12),NºAsuntos!G12/NºAsuntos!E12," - ")</f>
        <v>1.3907766990291262</v>
      </c>
      <c r="AM12" s="259">
        <f>IF(ISNUMBER(((NºAsuntos!I12/NºAsuntos!G12)*11)/factor_trimestre),((NºAsuntos!I12/NºAsuntos!G12)*11)/factor_trimestre," - ")</f>
        <v>12.416230366492146</v>
      </c>
      <c r="AN12" s="243">
        <f>IF(ISNUMBER('Resol  Asuntos'!D12/NºAsuntos!G12),'Resol  Asuntos'!D12/NºAsuntos!G12," - ")</f>
        <v>0.28359511343804539</v>
      </c>
      <c r="AO12" s="244">
        <f>IF(ISNUMBER((NºAsuntos!C12+NºAsuntos!E12)/NºAsuntos!G12),(NºAsuntos!C12+NºAsuntos!E12)/NºAsuntos!G12," - ")</f>
        <v>5.2015706806282722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0</v>
      </c>
      <c r="G13" s="865">
        <f t="shared" si="3"/>
        <v>0</v>
      </c>
      <c r="H13" s="864">
        <f t="shared" si="3"/>
        <v>0</v>
      </c>
      <c r="I13" s="866">
        <f t="shared" si="3"/>
        <v>0</v>
      </c>
      <c r="J13" s="866">
        <f t="shared" si="3"/>
        <v>0</v>
      </c>
      <c r="K13" s="866">
        <f t="shared" si="3"/>
        <v>0</v>
      </c>
      <c r="L13" s="866">
        <f t="shared" si="3"/>
        <v>259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256</v>
      </c>
      <c r="Y13" s="867">
        <f t="shared" si="4"/>
        <v>256</v>
      </c>
      <c r="Z13" s="867">
        <f t="shared" si="4"/>
        <v>0</v>
      </c>
      <c r="AA13" s="867">
        <f t="shared" si="4"/>
        <v>0</v>
      </c>
      <c r="AB13" s="867">
        <f t="shared" si="4"/>
        <v>8031</v>
      </c>
      <c r="AC13" s="867">
        <f t="shared" si="4"/>
        <v>0</v>
      </c>
      <c r="AD13" s="867">
        <f t="shared" si="4"/>
        <v>0</v>
      </c>
      <c r="AE13" s="871">
        <f t="shared" si="4"/>
        <v>0</v>
      </c>
      <c r="AF13" s="864">
        <f t="shared" si="4"/>
        <v>0</v>
      </c>
      <c r="AG13" s="872">
        <f t="shared" si="4"/>
        <v>0</v>
      </c>
      <c r="AH13" s="869">
        <f t="shared" si="4"/>
        <v>0</v>
      </c>
      <c r="AI13" s="864">
        <f t="shared" si="4"/>
        <v>325</v>
      </c>
      <c r="AJ13" s="866">
        <f t="shared" si="4"/>
        <v>0</v>
      </c>
      <c r="AK13" s="869">
        <f>SUBTOTAL(9,AK9:AK12)</f>
        <v>0</v>
      </c>
      <c r="AL13" s="873">
        <f>IF(ISNUMBER(NºAsuntos!G13/NºAsuntos!E13),NºAsuntos!G13/NºAsuntos!E13," - ")</f>
        <v>1.3907766990291262</v>
      </c>
      <c r="AM13" s="873">
        <f>IF(ISNUMBER(((NºAsuntos!I13/NºAsuntos!G13)*11)/factor_trimestre),((NºAsuntos!I13/NºAsuntos!G13)*11)/factor_trimestre," - ")</f>
        <v>12.416230366492146</v>
      </c>
      <c r="AN13" s="874">
        <f>IF(ISNUMBER('Resol  Asuntos'!D13/NºAsuntos!G13),'Resol  Asuntos'!D13/NºAsuntos!G13," - ")</f>
        <v>0.28359511343804539</v>
      </c>
      <c r="AO13" s="875">
        <f>IF(ISNUMBER((NºAsuntos!C13+NºAsuntos!E13)/NºAsuntos!G13),(NºAsuntos!C13+NºAsuntos!E13)/NºAsuntos!G13," - ")</f>
        <v>5.2015706806282722</v>
      </c>
      <c r="AP13" s="876" t="str">
        <f t="shared" si="2"/>
        <v xml:space="preserve"> - </v>
      </c>
      <c r="AQ13" s="876" t="str">
        <f>IF(ISNUMBER((H13-W13+K13)/(F13)),(H13-W13+K13)/(F13)," - ")</f>
        <v xml:space="preserve"> - </v>
      </c>
      <c r="AR13" s="877">
        <f>IF(ISNUMBER((Datos!P13-Datos!Q13)/(Datos!R13-Datos!P13+Datos!Q13)),(Datos!P13-Datos!Q13)/(Datos!R13-Datos!P13+Datos!Q13)," - ")</f>
        <v>3.7369207772795218E-4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3024</v>
      </c>
      <c r="G16" s="332">
        <f>IF(ISNUMBER(IF(D_I="SI",Datos!I16,Datos!I16+Datos!AC16)),IF(D_I="SI",Datos!I16,Datos!I16+Datos!AC16)," - ")</f>
        <v>3052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825</v>
      </c>
      <c r="X16" s="225">
        <f>IF(ISNUMBER(Datos!Q16),Datos!Q16," - ")</f>
        <v>32</v>
      </c>
      <c r="Y16" s="333">
        <f t="shared" ref="Y16:Y17" si="7">SUM(W16:X16)</f>
        <v>857</v>
      </c>
      <c r="Z16" s="334" t="str">
        <f>IF(ISNUMBER(Datos!CC16),Datos!CC16," - ")</f>
        <v xml:space="preserve"> - </v>
      </c>
      <c r="AA16" s="331">
        <f>IF(ISNUMBER(IF(D_I="SI",Datos!L16,Datos!L16+Datos!AF16)),IF(D_I="SI",Datos!L16,Datos!L16+Datos!AF16)," - ")</f>
        <v>3069</v>
      </c>
      <c r="AB16" s="333">
        <f>IF(ISNUMBER(Datos!R16),Datos!R16," - ")</f>
        <v>369</v>
      </c>
      <c r="AC16" s="333">
        <f t="shared" si="6"/>
        <v>3438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167</v>
      </c>
      <c r="AJ16" s="230" t="str">
        <f>IF(ISNUMBER(Datos!BW16),Datos!BW16," - ")</f>
        <v xml:space="preserve"> - </v>
      </c>
      <c r="AK16" s="231" t="str">
        <f>IF(ISNUMBER(Datos!BX16),Datos!BX16," - ")</f>
        <v xml:space="preserve"> - </v>
      </c>
      <c r="AL16" s="242">
        <f>IF(ISNUMBER(NºAsuntos!G16/NºAsuntos!E16),NºAsuntos!G16/NºAsuntos!E16," - ")</f>
        <v>0.94827586206896552</v>
      </c>
      <c r="AM16" s="259">
        <f>IF(ISNUMBER(((NºAsuntos!I16/NºAsuntos!G16)*11)/factor_trimestre),((NºAsuntos!I16/NºAsuntos!G16)*11)/factor_trimestre," - ")</f>
        <v>11.16</v>
      </c>
      <c r="AN16" s="243">
        <f>IF(ISNUMBER('Resol  Asuntos'!D16/NºAsuntos!G16),'Resol  Asuntos'!D16/NºAsuntos!G16," - ")</f>
        <v>0.20242424242424242</v>
      </c>
      <c r="AO16" s="244">
        <f>IF(ISNUMBER((NºAsuntos!C16+NºAsuntos!E16)/NºAsuntos!G16),(NºAsuntos!C16+NºAsuntos!E16)/NºAsuntos!G16," - ")</f>
        <v>4.7539393939393939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3024</v>
      </c>
      <c r="G18" s="865">
        <f>SUBTOTAL(9,G15:G17)</f>
        <v>3053</v>
      </c>
      <c r="H18" s="864">
        <f t="shared" ref="H18:O18" si="10">SUBTOTAL(9,H14:H17)</f>
        <v>0</v>
      </c>
      <c r="I18" s="866">
        <f t="shared" si="10"/>
        <v>0</v>
      </c>
      <c r="J18" s="866">
        <f t="shared" si="10"/>
        <v>0</v>
      </c>
      <c r="K18" s="866">
        <f t="shared" si="10"/>
        <v>0</v>
      </c>
      <c r="L18" s="866">
        <f t="shared" si="10"/>
        <v>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826</v>
      </c>
      <c r="X18" s="866">
        <f t="shared" si="11"/>
        <v>32</v>
      </c>
      <c r="Y18" s="867">
        <f t="shared" si="11"/>
        <v>858</v>
      </c>
      <c r="Z18" s="867">
        <f t="shared" si="11"/>
        <v>0</v>
      </c>
      <c r="AA18" s="867">
        <f t="shared" si="11"/>
        <v>3069</v>
      </c>
      <c r="AB18" s="867">
        <f t="shared" si="11"/>
        <v>369</v>
      </c>
      <c r="AC18" s="867">
        <f t="shared" si="11"/>
        <v>3438</v>
      </c>
      <c r="AD18" s="867">
        <f t="shared" si="11"/>
        <v>0</v>
      </c>
      <c r="AE18" s="871">
        <f t="shared" si="11"/>
        <v>0</v>
      </c>
      <c r="AF18" s="864">
        <f t="shared" si="11"/>
        <v>0</v>
      </c>
      <c r="AG18" s="872">
        <f t="shared" si="11"/>
        <v>0</v>
      </c>
      <c r="AH18" s="869">
        <f t="shared" si="11"/>
        <v>0</v>
      </c>
      <c r="AI18" s="864">
        <f t="shared" si="11"/>
        <v>167</v>
      </c>
      <c r="AJ18" s="866">
        <f t="shared" si="11"/>
        <v>0</v>
      </c>
      <c r="AK18" s="869">
        <f t="shared" si="11"/>
        <v>0</v>
      </c>
      <c r="AL18" s="873">
        <f>IF(ISNUMBER(NºAsuntos!G18/NºAsuntos!E18),NºAsuntos!G18/NºAsuntos!E18," - ")</f>
        <v>0.94942528735632181</v>
      </c>
      <c r="AM18" s="873">
        <f>IF(ISNUMBER(((NºAsuntos!I18/NºAsuntos!G18)*11)/factor_trimestre),((NºAsuntos!I18/NºAsuntos!G18)*11)/factor_trimestre," - ")</f>
        <v>11.146489104116222</v>
      </c>
      <c r="AN18" s="874">
        <f>IF(ISNUMBER('Resol  Asuntos'!D18/NºAsuntos!G18),'Resol  Asuntos'!D18/NºAsuntos!G18," - ")</f>
        <v>0.20217917675544794</v>
      </c>
      <c r="AO18" s="875">
        <f>IF(ISNUMBER((NºAsuntos!C18+NºAsuntos!E18)/NºAsuntos!G18),(NºAsuntos!C18+NºAsuntos!E18)/NºAsuntos!G18," - ")</f>
        <v>4.7493946731234864</v>
      </c>
      <c r="AP18" s="876" t="str">
        <f t="shared" si="2"/>
        <v xml:space="preserve"> - </v>
      </c>
      <c r="AQ18" s="876">
        <f>IF(ISNUMBER((H18-W18+K18)/(F18)),(H18-W18+K18)/(F18)," - ")</f>
        <v>-0.27314814814814814</v>
      </c>
      <c r="AR18" s="877">
        <f>IF(ISNUMBER((Datos!P18-Datos!Q18)/(Datos!R18-Datos!P18+Datos!Q18)),(Datos!P18-Datos!Q18)/(Datos!R18-Datos!P18+Datos!Q18)," - ")</f>
        <v>2.7855153203342618E-2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3024</v>
      </c>
      <c r="G19" s="820">
        <f t="shared" si="13"/>
        <v>3053</v>
      </c>
      <c r="H19" s="819">
        <f t="shared" si="13"/>
        <v>0</v>
      </c>
      <c r="I19" s="821">
        <f t="shared" si="13"/>
        <v>0</v>
      </c>
      <c r="J19" s="821">
        <f t="shared" si="13"/>
        <v>0</v>
      </c>
      <c r="K19" s="880">
        <f t="shared" si="13"/>
        <v>0</v>
      </c>
      <c r="L19" s="821">
        <f t="shared" si="13"/>
        <v>301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826</v>
      </c>
      <c r="X19" s="820">
        <f t="shared" si="14"/>
        <v>288</v>
      </c>
      <c r="Y19" s="827">
        <f t="shared" si="14"/>
        <v>1114</v>
      </c>
      <c r="Z19" s="827">
        <f t="shared" si="14"/>
        <v>0</v>
      </c>
      <c r="AA19" s="827">
        <f t="shared" si="14"/>
        <v>3069</v>
      </c>
      <c r="AB19" s="827">
        <f t="shared" si="14"/>
        <v>8400</v>
      </c>
      <c r="AC19" s="827">
        <f t="shared" si="14"/>
        <v>3438</v>
      </c>
      <c r="AD19" s="827">
        <f t="shared" si="14"/>
        <v>0</v>
      </c>
      <c r="AE19" s="829">
        <f t="shared" si="14"/>
        <v>0</v>
      </c>
      <c r="AF19" s="830">
        <f t="shared" si="14"/>
        <v>0</v>
      </c>
      <c r="AG19" s="831">
        <f t="shared" si="14"/>
        <v>0</v>
      </c>
      <c r="AH19" s="829">
        <f t="shared" si="14"/>
        <v>0</v>
      </c>
      <c r="AI19" s="819">
        <f t="shared" si="14"/>
        <v>492</v>
      </c>
      <c r="AJ19" s="819">
        <f t="shared" si="14"/>
        <v>0</v>
      </c>
      <c r="AK19" s="829">
        <f t="shared" si="14"/>
        <v>0</v>
      </c>
      <c r="AL19" s="883">
        <f>IF(ISNUMBER(NºAsuntos!G19/NºAsuntos!E19),NºAsuntos!G19/NºAsuntos!E19," - ")</f>
        <v>1.1641086186540732</v>
      </c>
      <c r="AM19" s="884">
        <f>IF(ISNUMBER(((NºAsuntos!I19/NºAsuntos!G19)*11)/factor_trimestre),((NºAsuntos!I19/NºAsuntos!G19)*11)/factor_trimestre," - ")</f>
        <v>11.884381338742394</v>
      </c>
      <c r="AN19" s="884">
        <f>IF(ISNUMBER('Resol  Asuntos'!D19/NºAsuntos!G19),'Resol  Asuntos'!D19/NºAsuntos!G19," - ")</f>
        <v>0.24949290060851928</v>
      </c>
      <c r="AO19" s="885">
        <f>IF(ISNUMBER((NºAsuntos!C19+NºAsuntos!E19)/NºAsuntos!G19),(NºAsuntos!C19+NºAsuntos!E19)/NºAsuntos!G19," - ")</f>
        <v>5.0121703853955379</v>
      </c>
      <c r="AP19" s="886" t="str">
        <f t="shared" si="2"/>
        <v xml:space="preserve"> - </v>
      </c>
      <c r="AQ19" s="887">
        <f>IF(OR(ISNUMBER(FIND("01",Criterios!A8,1)),ISNUMBER(FIND("02",Criterios!A8,1)),ISNUMBER(FIND("03",Criterios!A8,1)),ISNUMBER(FIND("04",Criterios!A8,1))),(I19-W19+K19)/(F19-K19),(H19-W19+K19)/(F19-K19))</f>
        <v>-0.27314814814814814</v>
      </c>
      <c r="AR19" s="888">
        <f>IF(ISNUMBER((Datos!P19-Datos!Q19)/(Datos!R19-Datos!P19+Datos!Q19)),(Datos!P19-Datos!Q19)/(Datos!R19-Datos!P19+Datos!Q19)," - ")</f>
        <v>1.5500178848217479E-3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1745.9072140294284</v>
      </c>
      <c r="G21" s="252">
        <f>IF(ISNUMBER(STDEV(G8:G18)),STDEV(G8:G18),"-")</f>
        <v>1671.7406198331128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451.96271970152583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145.36299391523278</v>
      </c>
      <c r="AJ21" s="251">
        <f t="shared" si="18"/>
        <v>0</v>
      </c>
      <c r="AK21" s="253">
        <f t="shared" si="18"/>
        <v>0</v>
      </c>
      <c r="AL21" s="248">
        <f t="shared" si="18"/>
        <v>0.25514659834601844</v>
      </c>
      <c r="AM21" s="249">
        <f t="shared" si="18"/>
        <v>5.3079952436595441</v>
      </c>
      <c r="AN21" s="249">
        <f t="shared" si="18"/>
        <v>0.11600408620339309</v>
      </c>
      <c r="AO21" s="250">
        <f t="shared" si="18"/>
        <v>1.7925694998033668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HoSUBThID7AdKb0O4XFtHVlIqms0qqfa92sVKhGdzdkMZ348eUssdgLoh4uuQQGQphyWySRWNfFcDQUVd3E+A==" saltValue="+Tk+N/RIHG9GwSq10vN4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NULES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9.4276094276094277E-2</v>
      </c>
      <c r="I12" s="349">
        <f>IF(ISNUMBER((Tasas!C12-Datos!BE12)/Datos!BE12),(Tasas!C12-Datos!BE12)/Datos!BE12," - ")</f>
        <v>9.206215946811698E-2</v>
      </c>
      <c r="J12" s="348">
        <f>IF(ISNUMBER((Tasas!D12-Datos!BF12)/Datos!BF12),(Tasas!D12-Datos!BF12)/Datos!BF12," - ")</f>
        <v>-0.26226510353929877</v>
      </c>
      <c r="K12" s="350">
        <f>IF(ISNUMBER((Tasas!E12-Datos!BG12)/Datos!BG12),(Tasas!E12-Datos!BG12)/Datos!BG12," - ")</f>
        <v>6.3597800765888501E-2</v>
      </c>
      <c r="M12" t="e">
        <f>IF(Monitorios="SI",Datos!CE12,0)</f>
        <v>#REF!</v>
      </c>
      <c r="N12" t="e">
        <f>IF(Monitorios="SI",Datos!CF12,0)</f>
        <v>#REF!</v>
      </c>
      <c r="O12" t="e">
        <f>IF(Monitorios="SI",Datos!CG12,0)</f>
        <v>#REF!</v>
      </c>
      <c r="P12" t="e">
        <f>IF(Monitorios="SI",Datos!CH12,0)</f>
        <v>#REF!</v>
      </c>
      <c r="Q12">
        <f>IF(J_V="SI",0,Datos!AG12)</f>
        <v>109</v>
      </c>
      <c r="R12">
        <f>IF(J_V="SI",0,Datos!AH12)</f>
        <v>47</v>
      </c>
      <c r="S12">
        <f>IF(J_V="SI",0,Datos!AI12)</f>
        <v>58</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9.4276094276094277E-2</v>
      </c>
      <c r="I13" s="356">
        <f>IF(ISNUMBER((Tasas!C13-Datos!BE13)/Datos!BE13),(Tasas!C13-Datos!BE13)/Datos!BE13," - ")</f>
        <v>9.206215946811698E-2</v>
      </c>
      <c r="J13" s="354">
        <f>IF(ISNUMBER((Tasas!D13-Datos!BF13)/Datos!BF13),(Tasas!D13-Datos!BF13)/Datos!BF13," - ")</f>
        <v>-0.26226510353929877</v>
      </c>
      <c r="K13" s="357">
        <f>IF(ISNUMBER((Tasas!E13-Datos!BG13)/Datos!BG13),(Tasas!E13-Datos!BG13)/Datos!BG13," - ")</f>
        <v>6.3597800765888501E-2</v>
      </c>
      <c r="M13" t="e">
        <f>IF(Monitorios="SI",Datos!CE13,0)</f>
        <v>#REF!</v>
      </c>
      <c r="N13" t="e">
        <f>IF(Monitorios="SI",Datos!CF13,0)</f>
        <v>#REF!</v>
      </c>
      <c r="O13" t="e">
        <f>IF(Monitorios="SI",Datos!CG13,0)</f>
        <v>#REF!</v>
      </c>
      <c r="P13" t="e">
        <f>IF(Monitorios="SI",Datos!CH13,0)</f>
        <v>#REF!</v>
      </c>
      <c r="Q13">
        <f>IF(J_V="SI",0,Datos!AG13)</f>
        <v>109</v>
      </c>
      <c r="R13">
        <f>IF(J_V="SI",0,Datos!AH13)</f>
        <v>47</v>
      </c>
      <c r="S13">
        <f>IF(J_V="SI",0,Datos!AI13)</f>
        <v>58</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0.2087128712871287</v>
      </c>
      <c r="E16" s="347">
        <f>IF(ISNUMBER(
   IF(D_I="SI",(Datos!J16-Datos!T16)/Datos!T16,(Datos!J16+Datos!AD16-(Datos!T16+Datos!AL16))/(Datos!T16+Datos!AL16))
     ),IF(D_I="SI",(Datos!J16-Datos!T16)/Datos!T16,(Datos!J16+Datos!AD16-(Datos!T16+Datos!AL16))/(Datos!T16+Datos!AL16))," - ")</f>
        <v>0.10406091370558376</v>
      </c>
      <c r="F16" s="347">
        <f>IF(ISNUMBER(
   IF(D_I="SI",(Datos!K16-Datos!U16)/Datos!U16,(Datos!K16+Datos!AE16-(Datos!U16+Datos!AM16))/(Datos!U16+Datos!AM16))
     ),IF(D_I="SI",(Datos!K16-Datos!U16)/Datos!U16,(Datos!K16+Datos!AE16-(Datos!U16+Datos!AM16))/(Datos!U16+Datos!AM16))," - ")</f>
        <v>0.26533742331288346</v>
      </c>
      <c r="G16" s="348">
        <f>IF(ISNUMBER(
   IF(D_I="SI",(Datos!L16-Datos!V16)/Datos!V16,(Datos!L16+Datos!AF16-(Datos!V16+Datos!AN16))/(Datos!V16+Datos!AN16))
     ),IF(D_I="SI",(Datos!L16-Datos!V16)/Datos!V16,(Datos!L16+Datos!AF16-(Datos!V16+Datos!AN16))/(Datos!V16+Datos!AN16))," - ")</f>
        <v>0.14472211861245804</v>
      </c>
      <c r="H16" s="229">
        <f>IF(ISNUMBER((Datos!M16-Datos!W16)/Datos!W16),(Datos!M16-Datos!W16)/Datos!W16," - ")</f>
        <v>5.6962025316455694E-2</v>
      </c>
      <c r="I16" s="349">
        <f>IF(ISNUMBER((Tasas!C16-Datos!BE16)/Datos!BE16),(Tasas!C16-Datos!BE16)/Datos!BE16," - ")</f>
        <v>-9.5322640805669503E-2</v>
      </c>
      <c r="J16" s="348">
        <f>IF(ISNUMBER((Tasas!D16-Datos!BF16)/Datos!BF16),(Tasas!D16-Datos!BF16)/Datos!BF16," - ")</f>
        <v>-0.16467970847717681</v>
      </c>
      <c r="K16" s="350">
        <f>IF(ISNUMBER((Tasas!E16-Datos!BG16)/Datos!BG16),(Tasas!E16-Datos!BG16)/Datos!BG16," - ")</f>
        <v>-6.4422431376853329E-2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-0.83333333333333337</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-0.66666666666666663</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0.20624259186092453</v>
      </c>
      <c r="E18" s="353">
        <f>IF(ISNUMBER(
   IF(D_I="SI",(Datos!J18-Datos!T18)/Datos!T18,(Datos!J18+Datos!AD18-(Datos!T18+Datos!AL18))/(Datos!T18+Datos!AL18))
     ),IF(D_I="SI",(Datos!J18-Datos!T18)/Datos!T18,(Datos!J18+Datos!AD18-(Datos!T18+Datos!AL18))/(Datos!T18+Datos!AL18))," - ")</f>
        <v>0.10406091370558376</v>
      </c>
      <c r="F18" s="353">
        <f>IF(ISNUMBER(
   IF(D_I="SI",(Datos!K18-Datos!U18)/Datos!U18,(Datos!K18+Datos!AE18-(Datos!U18+Datos!AM18))/(Datos!U18+Datos!AM18))
     ),IF(D_I="SI",(Datos!K18-Datos!U18)/Datos!U18,(Datos!K18+Datos!AE18-(Datos!U18+Datos!AM18))/(Datos!U18+Datos!AM18))," - ")</f>
        <v>0.26106870229007634</v>
      </c>
      <c r="G18" s="354">
        <f>IF(ISNUMBER(
   IF(D_I="SI",(Datos!L18-Datos!V18)/Datos!V18,(Datos!L18+Datos!AF18-(Datos!V18+Datos!AN18))/(Datos!V18+Datos!AN18))
     ),IF(D_I="SI",(Datos!L18-Datos!V18)/Datos!V18,(Datos!L18+Datos!AF18-(Datos!V18+Datos!AN18))/(Datos!V18+Datos!AN18))," - ")</f>
        <v>0.14344262295081966</v>
      </c>
      <c r="H18" s="355">
        <f>IF(ISNUMBER((Datos!M18-Datos!W18)/Datos!W18),(Datos!M18-Datos!W18)/Datos!W18," - ")</f>
        <v>5.6962025316455694E-2</v>
      </c>
      <c r="I18" s="356">
        <f>IF(ISNUMBER((Tasas!C18-Datos!BE18)/Datos!BE18),(Tasas!C18-Datos!BE18)/Datos!BE18," - ")</f>
        <v>-9.3274917635851273E-2</v>
      </c>
      <c r="J18" s="354">
        <f>IF(ISNUMBER((Tasas!D18-Datos!BF18)/Datos!BF18),(Tasas!D18-Datos!BF18)/Datos!BF18," - ")</f>
        <v>-0.1618521469948202</v>
      </c>
      <c r="K18" s="357">
        <f>IF(ISNUMBER((Tasas!E18-Datos!BG18)/Datos!BG18),(Tasas!E18-Datos!BG18)/Datos!BG18," - ")</f>
        <v>-6.2713615276925774E-2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0.22384937238493724</v>
      </c>
      <c r="E19" s="362">
        <f>IF(ISNUMBER(
   IF(J_V="SI",(Datos!J19-Datos!T19)/Datos!T19,(Datos!J19+Datos!Z19-(Datos!T19+Datos!AH19))/(Datos!T19+Datos!AH19))
     ),IF(J_V="SI",(Datos!J19-Datos!T19)/Datos!T19,(Datos!J19+Datos!Z19-(Datos!T19+Datos!AH19))/(Datos!T19+Datos!AH19))," - ")</f>
        <v>-0.23417721518987342</v>
      </c>
      <c r="F19" s="362">
        <f>IF(ISNUMBER(
   IF(J_V="SI",(Datos!K19-Datos!U19)/Datos!U19,(Datos!K19+Datos!AA19-(Datos!U19+Datos!AI19))/(Datos!U19+Datos!AI19))
     ),IF(J_V="SI",(Datos!K19-Datos!U19)/Datos!U19,(Datos!K19+Datos!AA19-(Datos!U19+Datos!AI19))/(Datos!U19+Datos!AI19))," - ")</f>
        <v>9.7384529771841963E-2</v>
      </c>
      <c r="G19" s="363">
        <f>IF(ISNUMBER(
   IF(J_V="SI",(Datos!L19-Datos!V19)/Datos!V19,(Datos!L19+Datos!AB19-(Datos!V19+Datos!AJ19))/(Datos!V19+Datos!AJ19))
     ),IF(J_V="SI",(Datos!L19-Datos!V19)/Datos!V19,(Datos!L19+Datos!AB19-(Datos!V19+Datos!AJ19))/(Datos!V19+Datos!AJ19))," - ")</f>
        <v>0.11409013120365089</v>
      </c>
      <c r="H19" s="364">
        <f>IF(ISNUMBER((Datos!M19-Datos!W19)/Datos!W19),(Datos!M19-Datos!W19)/Datos!W19," - ")</f>
        <v>8.1318681318681321E-2</v>
      </c>
      <c r="I19" s="361">
        <f>IF(ISNUMBER((Tasas!C19-Datos!BE19)/Datos!BE19),(Tasas!C19-Datos!BE19)/Datos!BE19," - ")</f>
        <v>1.5223106375740744E-2</v>
      </c>
      <c r="J19" s="362">
        <f>IF(ISNUMBER((Tasas!D19-Datos!BF19)/Datos!BF19),(Tasas!D19-Datos!BF19)/Datos!BF19," - ")</f>
        <v>-0.24901383183666811</v>
      </c>
      <c r="K19" s="363">
        <f>IF(ISNUMBER((Tasas!E19-Datos!BG19)/Datos!BG19),(Tasas!E19-Datos!BG19)/Datos!BG19," - ")</f>
        <v>1.1553255004018661E-2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0.60091381787627562</v>
      </c>
      <c r="E21" s="277">
        <f t="shared" si="1"/>
        <v>0</v>
      </c>
      <c r="F21" s="277">
        <f t="shared" si="1"/>
        <v>0.53686478132007065</v>
      </c>
      <c r="G21" s="278">
        <f t="shared" si="1"/>
        <v>0.66053657455263759</v>
      </c>
      <c r="H21" s="284">
        <f t="shared" si="1"/>
        <v>2.1543287758407643E-2</v>
      </c>
      <c r="I21" s="276">
        <f t="shared" si="1"/>
        <v>0.45632888379587555</v>
      </c>
      <c r="J21" s="277">
        <f t="shared" si="1"/>
        <v>5.7168856211813397E-2</v>
      </c>
      <c r="K21" s="278">
        <f t="shared" si="1"/>
        <v>0.23247823446312441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32O6DVgTdqKwAiW+DGJX1JRcSFl9tW/Vpb4QJZjbIVYzEaDRjnINJpand+fvZY4kFrzlIxLUr1gqratQhNSvQ==" saltValue="mhlNx1fZhAOlcW6ngP7Z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